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wattswater1.sharepoint.com/sites/PriceIncrease/Shared Documents/General/2026-01 USA/Excels/"/>
    </mc:Choice>
  </mc:AlternateContent>
  <xr:revisionPtr revIDLastSave="0" documentId="8_{0BD75DA3-7D3C-44B9-9414-761E93884E90}" xr6:coauthVersionLast="47" xr6:coauthVersionMax="47" xr10:uidLastSave="{00000000-0000-0000-0000-000000000000}"/>
  <bookViews>
    <workbookView xWindow="-120" yWindow="-120" windowWidth="38640" windowHeight="21120" tabRatio="755" xr2:uid="{00000000-000D-0000-FFFF-FFFF00000000}"/>
  </bookViews>
  <sheets>
    <sheet name="Cover" sheetId="32" r:id="rId1"/>
    <sheet name="T&amp;C" sheetId="28" r:id="rId2"/>
    <sheet name="Table of Contents" sheetId="11" r:id="rId3"/>
    <sheet name="Iron Wye Strainers" sheetId="6" r:id="rId4"/>
    <sheet name="Bronze Wye Strainers" sheetId="12" r:id="rId5"/>
    <sheet name="Carbon Steel Wye Strainers" sheetId="13" r:id="rId6"/>
    <sheet name="Stainless Steel Wye Strainer" sheetId="30" r:id="rId7"/>
    <sheet name="Iron Simplex Basket Strainers" sheetId="15" r:id="rId8"/>
    <sheet name="Carbon Steel Simplex Basket " sheetId="16" r:id="rId9"/>
    <sheet name="Stainless Steel Simplex Basket" sheetId="17" r:id="rId10"/>
    <sheet name="Duplex Basket Strainers" sheetId="20" r:id="rId11"/>
    <sheet name="UL Fireline Strainers" sheetId="21" r:id="rId12"/>
    <sheet name="Suction Diffusers" sheetId="22" r:id="rId13"/>
    <sheet name="Triple Duty Valves" sheetId="27" r:id="rId14"/>
    <sheet name="Double Disc Check Valves" sheetId="23" r:id="rId15"/>
    <sheet name="Silent Check Valves" sheetId="25" r:id="rId16"/>
    <sheet name="CHEXTER Check Valv" sheetId="29" r:id="rId17"/>
    <sheet name="Butterfly Valves" sheetId="26" r:id="rId18"/>
    <sheet name="List Price Adders" sheetId="33" r:id="rId19"/>
    <sheet name="Index" sheetId="31" r:id="rId20"/>
  </sheets>
  <definedNames>
    <definedName name="_xlnm._FilterDatabase" localSheetId="4" hidden="1">'Bronze Wye Strainers'!$C$5:$K$35</definedName>
    <definedName name="_xlnm._FilterDatabase" localSheetId="19" hidden="1">Index!$A$2:$F$2793</definedName>
    <definedName name="_xlnm._FilterDatabase" localSheetId="3" hidden="1">'Iron Wye Strainers'!$A$1:$G$261</definedName>
    <definedName name="increasefactor">#REF!</definedName>
    <definedName name="IncreaseFactors">#REF!</definedName>
    <definedName name="productfamilysensitivity">#REF!</definedName>
    <definedName name="unitpricemul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20" l="1"/>
  <c r="F331" i="20"/>
  <c r="F333" i="20"/>
  <c r="F332" i="20"/>
  <c r="F330" i="20"/>
  <c r="F328" i="20"/>
  <c r="F327" i="20"/>
  <c r="F326" i="20"/>
  <c r="F325" i="20"/>
  <c r="F324" i="20"/>
  <c r="F323" i="20"/>
  <c r="F322" i="20"/>
  <c r="F321" i="20"/>
  <c r="F320" i="20"/>
  <c r="F319" i="20"/>
  <c r="F81" i="26"/>
  <c r="F82" i="26"/>
  <c r="F83" i="26"/>
  <c r="F84" i="26"/>
  <c r="F85" i="26"/>
  <c r="F86" i="26"/>
  <c r="F118" i="26"/>
  <c r="F119" i="26"/>
  <c r="F120" i="26"/>
  <c r="F121" i="26"/>
  <c r="F122" i="26"/>
  <c r="F123" i="26"/>
  <c r="F124" i="26"/>
  <c r="F125" i="26"/>
  <c r="F126" i="26"/>
  <c r="F117" i="26"/>
  <c r="J279" i="6"/>
  <c r="F80" i="26" l="1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99" i="26"/>
  <c r="F98" i="26"/>
  <c r="F97" i="26"/>
  <c r="F102" i="26"/>
  <c r="F101" i="26"/>
  <c r="F100" i="26"/>
  <c r="F96" i="26"/>
  <c r="F95" i="26"/>
  <c r="F94" i="26"/>
  <c r="J947" i="13"/>
  <c r="J950" i="13"/>
  <c r="J78" i="25"/>
  <c r="J79" i="25"/>
  <c r="E614" i="6"/>
  <c r="E613" i="6"/>
  <c r="E612" i="6"/>
  <c r="E611" i="6"/>
  <c r="E610" i="6"/>
  <c r="E609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E143" i="20"/>
  <c r="E142" i="20"/>
  <c r="E141" i="20"/>
  <c r="E140" i="20"/>
  <c r="E139" i="20"/>
  <c r="E138" i="20"/>
  <c r="K62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F262" i="16"/>
  <c r="F267" i="16"/>
  <c r="F261" i="16"/>
  <c r="F270" i="16"/>
  <c r="F268" i="16"/>
  <c r="J49" i="25"/>
  <c r="F266" i="16"/>
  <c r="F263" i="16"/>
  <c r="F272" i="16"/>
  <c r="F277" i="16"/>
  <c r="F115" i="22"/>
  <c r="F271" i="16"/>
  <c r="F269" i="16"/>
  <c r="F279" i="16"/>
  <c r="F278" i="16"/>
  <c r="F276" i="16"/>
  <c r="F275" i="16"/>
  <c r="F274" i="16"/>
  <c r="F273" i="16" s="1"/>
  <c r="F265" i="16"/>
  <c r="F264" i="16" s="1"/>
  <c r="J48" i="25"/>
  <c r="J47" i="25"/>
  <c r="J46" i="25"/>
  <c r="J45" i="25"/>
  <c r="J44" i="25"/>
  <c r="F116" i="22" l="1"/>
  <c r="F112" i="22"/>
  <c r="J770" i="30" l="1"/>
  <c r="J769" i="30"/>
  <c r="J768" i="30"/>
  <c r="J767" i="30"/>
  <c r="J766" i="30"/>
  <c r="J765" i="30"/>
  <c r="J763" i="30"/>
  <c r="J764" i="30" s="1"/>
  <c r="J761" i="30"/>
  <c r="J762" i="30" s="1"/>
  <c r="J117" i="25" l="1"/>
  <c r="J621" i="30" l="1"/>
  <c r="J620" i="30"/>
  <c r="J619" i="30"/>
  <c r="J618" i="30"/>
  <c r="J617" i="30"/>
  <c r="J616" i="30"/>
  <c r="J389" i="30"/>
  <c r="J390" i="30"/>
  <c r="J391" i="30"/>
  <c r="J392" i="30"/>
  <c r="J388" i="30"/>
  <c r="J387" i="30"/>
  <c r="J386" i="30"/>
  <c r="J385" i="30"/>
  <c r="J384" i="30"/>
  <c r="J261" i="30"/>
  <c r="J260" i="30"/>
  <c r="J259" i="30"/>
  <c r="J258" i="30"/>
  <c r="J257" i="30"/>
  <c r="J256" i="30"/>
  <c r="J255" i="30"/>
  <c r="J254" i="30"/>
  <c r="J236" i="30"/>
  <c r="J235" i="30"/>
  <c r="J234" i="30"/>
  <c r="J233" i="30"/>
  <c r="J232" i="30"/>
  <c r="J231" i="30"/>
  <c r="J230" i="30"/>
  <c r="J229" i="30"/>
  <c r="J256" i="13"/>
  <c r="J255" i="13"/>
  <c r="J254" i="13"/>
  <c r="J253" i="13"/>
  <c r="J252" i="13"/>
  <c r="J251" i="13"/>
  <c r="J250" i="13"/>
  <c r="J249" i="13"/>
  <c r="J228" i="13"/>
  <c r="J227" i="13"/>
  <c r="J226" i="13"/>
  <c r="J225" i="13"/>
  <c r="J224" i="13"/>
  <c r="J223" i="13"/>
  <c r="J229" i="13"/>
  <c r="J230" i="13" s="1"/>
  <c r="J145" i="6" l="1"/>
  <c r="J146" i="6"/>
  <c r="J483" i="16"/>
  <c r="J479" i="16"/>
  <c r="J480" i="16" s="1"/>
  <c r="J477" i="16"/>
  <c r="J465" i="16"/>
  <c r="J458" i="16"/>
  <c r="J459" i="16"/>
  <c r="J366" i="16"/>
  <c r="J360" i="16"/>
  <c r="J342" i="16"/>
  <c r="J142" i="16"/>
  <c r="J143" i="16"/>
  <c r="J139" i="16"/>
  <c r="J134" i="16"/>
  <c r="J127" i="16"/>
  <c r="J122" i="16"/>
  <c r="J119" i="16"/>
  <c r="J28" i="16"/>
  <c r="J29" i="16"/>
  <c r="J25" i="16"/>
  <c r="J26" i="16"/>
  <c r="J23" i="16"/>
  <c r="J10" i="16"/>
  <c r="J7" i="16"/>
  <c r="J434" i="15"/>
  <c r="J431" i="15"/>
  <c r="J312" i="15"/>
  <c r="J308" i="15"/>
  <c r="J306" i="15"/>
  <c r="J158" i="15"/>
  <c r="J155" i="15"/>
  <c r="J133" i="15"/>
  <c r="J134" i="15"/>
  <c r="J13" i="15"/>
  <c r="J649" i="30"/>
  <c r="J650" i="30"/>
  <c r="J647" i="30"/>
  <c r="J640" i="30"/>
  <c r="J641" i="30"/>
  <c r="J637" i="30"/>
  <c r="J638" i="30"/>
  <c r="J634" i="30"/>
  <c r="J631" i="30"/>
  <c r="J632" i="30"/>
  <c r="J609" i="30"/>
  <c r="J610" i="30"/>
  <c r="J606" i="30"/>
  <c r="J607" i="30"/>
  <c r="J603" i="30"/>
  <c r="J604" i="30"/>
  <c r="J423" i="30"/>
  <c r="J414" i="30"/>
  <c r="J415" i="30"/>
  <c r="J403" i="30"/>
  <c r="J399" i="30"/>
  <c r="J400" i="30"/>
  <c r="J368" i="30"/>
  <c r="J369" i="30"/>
  <c r="J751" i="13"/>
  <c r="J752" i="13"/>
  <c r="J733" i="13"/>
  <c r="J734" i="13"/>
  <c r="J721" i="13"/>
  <c r="J722" i="13"/>
  <c r="J719" i="13"/>
  <c r="J684" i="13"/>
  <c r="J685" i="13"/>
  <c r="J682" i="13"/>
  <c r="J646" i="13"/>
  <c r="J478" i="13"/>
  <c r="J477" i="13" s="1"/>
  <c r="J480" i="13"/>
  <c r="J481" i="13"/>
  <c r="J475" i="13"/>
  <c r="J469" i="13"/>
  <c r="J456" i="13"/>
  <c r="J457" i="13"/>
  <c r="J450" i="13"/>
  <c r="J451" i="13" s="1"/>
  <c r="J444" i="13"/>
  <c r="J445" i="13"/>
  <c r="J419" i="13"/>
  <c r="J413" i="13"/>
  <c r="J405" i="13"/>
  <c r="J148" i="6"/>
  <c r="J149" i="6" s="1"/>
  <c r="F105" i="30" l="1"/>
  <c r="F290" i="29"/>
  <c r="F65" i="29"/>
  <c r="F332" i="29"/>
  <c r="F386" i="29"/>
  <c r="F421" i="29"/>
  <c r="F547" i="29"/>
  <c r="F418" i="29"/>
  <c r="F238" i="29"/>
  <c r="F176" i="29"/>
  <c r="F356" i="29"/>
  <c r="F355" i="29"/>
  <c r="F300" i="29"/>
  <c r="F358" i="29"/>
  <c r="F354" i="29"/>
  <c r="F523" i="29"/>
  <c r="F280" i="29"/>
  <c r="F151" i="29"/>
  <c r="F336" i="29"/>
  <c r="F213" i="29"/>
  <c r="F212" i="29"/>
  <c r="F275" i="29"/>
  <c r="F389" i="29"/>
  <c r="F452" i="29"/>
  <c r="F43" i="29"/>
  <c r="F226" i="29"/>
  <c r="F161" i="29"/>
  <c r="F50" i="29"/>
  <c r="F343" i="29"/>
  <c r="F158" i="29"/>
  <c r="F286" i="29"/>
  <c r="F341" i="29"/>
  <c r="F155" i="29"/>
  <c r="F340" i="29"/>
  <c r="F469" i="29"/>
  <c r="F404" i="29"/>
  <c r="F288" i="29"/>
  <c r="F223" i="29"/>
  <c r="F465" i="29"/>
  <c r="F221" i="29"/>
  <c r="F526" i="29"/>
  <c r="F462" i="29"/>
  <c r="F218" i="29"/>
  <c r="F54" i="29"/>
  <c r="F299" i="29"/>
  <c r="F540" i="29"/>
  <c r="F412" i="29"/>
  <c r="F350" i="29"/>
  <c r="F59" i="29"/>
  <c r="F349" i="29"/>
  <c r="F348" i="29"/>
  <c r="F407" i="29"/>
  <c r="F55" i="29"/>
  <c r="F387" i="29"/>
  <c r="F514" i="29"/>
  <c r="F207" i="29"/>
  <c r="F385" i="29"/>
  <c r="F512" i="29"/>
  <c r="F511" i="29"/>
  <c r="F268" i="29"/>
  <c r="F382" i="29"/>
  <c r="F445" i="29"/>
  <c r="F23" i="29"/>
  <c r="F379" i="29"/>
  <c r="F31" i="29"/>
  <c r="F331" i="29"/>
  <c r="F29" i="29"/>
  <c r="F330" i="29"/>
  <c r="F96" i="29"/>
  <c r="F141" i="29"/>
  <c r="F94" i="29"/>
  <c r="F405" i="29"/>
  <c r="F32" i="29"/>
  <c r="F76" i="29"/>
  <c r="F189" i="23"/>
  <c r="F206" i="23"/>
  <c r="F192" i="23"/>
  <c r="F205" i="23"/>
  <c r="F191" i="23"/>
  <c r="F190" i="23"/>
  <c r="F204" i="23"/>
  <c r="F203" i="23"/>
  <c r="F188" i="23"/>
  <c r="F202" i="23"/>
  <c r="F187" i="23"/>
  <c r="F201" i="23"/>
  <c r="F186" i="23"/>
  <c r="F200" i="23"/>
  <c r="F198" i="23"/>
  <c r="F197" i="23"/>
  <c r="F196" i="23"/>
  <c r="F208" i="23"/>
  <c r="F194" i="23"/>
  <c r="F207" i="23"/>
  <c r="F193" i="23"/>
  <c r="F546" i="29"/>
  <c r="F543" i="29"/>
  <c r="F537" i="29"/>
  <c r="F534" i="29"/>
  <c r="F528" i="29"/>
  <c r="F525" i="29"/>
  <c r="F519" i="29"/>
  <c r="F516" i="29"/>
  <c r="F510" i="29"/>
  <c r="F507" i="29"/>
  <c r="G494" i="29"/>
  <c r="F419" i="29"/>
  <c r="F410" i="29"/>
  <c r="F401" i="29"/>
  <c r="F392" i="29"/>
  <c r="F383" i="29"/>
  <c r="F199" i="23"/>
  <c r="L85" i="20"/>
  <c r="L86" i="20"/>
  <c r="L87" i="20"/>
  <c r="L88" i="20"/>
  <c r="L89" i="20"/>
  <c r="L90" i="20"/>
  <c r="L91" i="20"/>
  <c r="L92" i="20" s="1"/>
  <c r="L93" i="20" s="1"/>
  <c r="L94" i="20" s="1"/>
  <c r="L32" i="20"/>
  <c r="L33" i="20"/>
  <c r="L34" i="20"/>
  <c r="L35" i="20"/>
  <c r="L36" i="20"/>
  <c r="K30" i="26"/>
  <c r="K29" i="26"/>
  <c r="K28" i="26"/>
  <c r="K27" i="26"/>
  <c r="K26" i="26"/>
  <c r="J373" i="30"/>
  <c r="J374" i="30" s="1"/>
  <c r="J375" i="30" s="1"/>
  <c r="J376" i="30" s="1"/>
  <c r="J377" i="30" s="1"/>
  <c r="J378" i="30" s="1"/>
  <c r="K168" i="23"/>
  <c r="K167" i="23" s="1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39" i="26"/>
  <c r="K37" i="26"/>
  <c r="H258" i="29"/>
  <c r="J269" i="17"/>
  <c r="F524" i="30"/>
  <c r="F543" i="30" s="1"/>
  <c r="F562" i="30" s="1"/>
  <c r="K139" i="23"/>
  <c r="F306" i="16"/>
  <c r="J118" i="16"/>
  <c r="J116" i="16"/>
  <c r="F543" i="16"/>
  <c r="J128" i="17"/>
  <c r="J362" i="30"/>
  <c r="J27" i="23"/>
  <c r="J28" i="23" s="1"/>
  <c r="K70" i="23"/>
  <c r="J424" i="30"/>
  <c r="J425" i="30" s="1"/>
  <c r="J426" i="30" s="1"/>
  <c r="J427" i="30" s="1"/>
  <c r="F300" i="20"/>
  <c r="F295" i="20"/>
  <c r="F288" i="20"/>
  <c r="F285" i="20"/>
  <c r="F280" i="20"/>
  <c r="F271" i="20"/>
  <c r="F270" i="20"/>
  <c r="F266" i="20"/>
  <c r="J173" i="25"/>
  <c r="K142" i="23"/>
  <c r="J175" i="25"/>
  <c r="J176" i="25" s="1"/>
  <c r="J635" i="30"/>
  <c r="J365" i="30"/>
  <c r="G320" i="29"/>
  <c r="J26" i="17"/>
  <c r="J25" i="17" s="1"/>
  <c r="J420" i="30"/>
  <c r="F293" i="20"/>
  <c r="F292" i="20"/>
  <c r="F291" i="20"/>
  <c r="F290" i="20"/>
  <c r="F289" i="20"/>
  <c r="F308" i="20"/>
  <c r="F307" i="20"/>
  <c r="F306" i="20"/>
  <c r="F305" i="20"/>
  <c r="F304" i="20"/>
  <c r="F303" i="20"/>
  <c r="F301" i="20"/>
  <c r="F286" i="20"/>
  <c r="F317" i="20"/>
  <c r="F263" i="20"/>
  <c r="F316" i="20"/>
  <c r="F261" i="20"/>
  <c r="F313" i="20"/>
  <c r="F258" i="20"/>
  <c r="F278" i="20"/>
  <c r="F277" i="20"/>
  <c r="F276" i="20"/>
  <c r="F275" i="20"/>
  <c r="F274" i="20"/>
  <c r="F283" i="20"/>
  <c r="F298" i="20"/>
  <c r="F268" i="20"/>
  <c r="F312" i="20"/>
  <c r="F281" i="20"/>
  <c r="F310" i="20"/>
  <c r="K137" i="23"/>
  <c r="J26" i="23"/>
  <c r="K47" i="20"/>
  <c r="J177" i="15"/>
  <c r="J176" i="15"/>
  <c r="J174" i="15"/>
  <c r="J173" i="15"/>
  <c r="J168" i="15"/>
  <c r="J167" i="15"/>
  <c r="J382" i="16"/>
  <c r="J381" i="16"/>
  <c r="J380" i="16"/>
  <c r="J379" i="16"/>
  <c r="J378" i="16"/>
  <c r="J373" i="16"/>
  <c r="J425" i="15"/>
  <c r="J424" i="15"/>
  <c r="J422" i="15"/>
  <c r="J419" i="15"/>
  <c r="J416" i="15"/>
  <c r="J415" i="15"/>
  <c r="J413" i="15"/>
  <c r="J374" i="16"/>
  <c r="J300" i="15"/>
  <c r="F527" i="15"/>
  <c r="F507" i="15"/>
  <c r="F517" i="15" s="1"/>
  <c r="F370" i="15"/>
  <c r="J299" i="15"/>
  <c r="J296" i="15"/>
  <c r="J598" i="30"/>
  <c r="J597" i="30"/>
  <c r="J596" i="30"/>
  <c r="J589" i="30"/>
  <c r="J588" i="30"/>
  <c r="F397" i="15"/>
  <c r="J291" i="15"/>
  <c r="J290" i="15"/>
  <c r="J287" i="15"/>
  <c r="J196" i="25"/>
  <c r="J356" i="30"/>
  <c r="J591" i="30"/>
  <c r="J171" i="15"/>
  <c r="J143" i="15"/>
  <c r="J29" i="15"/>
  <c r="J26" i="15"/>
  <c r="J25" i="15"/>
  <c r="J20" i="15"/>
  <c r="F71" i="17"/>
  <c r="J17" i="15"/>
  <c r="J10" i="15"/>
  <c r="J8" i="15"/>
  <c r="J125" i="17"/>
  <c r="F106" i="22"/>
  <c r="J106" i="25"/>
  <c r="J149" i="25"/>
  <c r="K101" i="23"/>
  <c r="K102" i="23" s="1"/>
  <c r="K103" i="23" s="1"/>
  <c r="J359" i="16"/>
  <c r="J16" i="16"/>
  <c r="J17" i="16" s="1"/>
  <c r="J40" i="15"/>
  <c r="J600" i="30"/>
  <c r="J153" i="15"/>
  <c r="J283" i="17"/>
  <c r="J284" i="17" s="1"/>
  <c r="J285" i="17" s="1"/>
  <c r="J608" i="30"/>
  <c r="J55" i="25"/>
  <c r="J583" i="30"/>
  <c r="J595" i="30"/>
  <c r="K100" i="20"/>
  <c r="J151" i="25"/>
  <c r="J105" i="25"/>
  <c r="J482" i="16"/>
  <c r="K141" i="23"/>
  <c r="K138" i="23"/>
  <c r="K74" i="23"/>
  <c r="K75" i="23" s="1"/>
  <c r="K76" i="23" s="1"/>
  <c r="K77" i="23" s="1"/>
  <c r="K78" i="23" s="1"/>
  <c r="K79" i="23" s="1"/>
  <c r="K80" i="23" s="1"/>
  <c r="K81" i="23" s="1"/>
  <c r="F250" i="15"/>
  <c r="J25" i="23"/>
  <c r="K134" i="23"/>
  <c r="F230" i="20"/>
  <c r="F231" i="20"/>
  <c r="F232" i="20"/>
  <c r="F233" i="20" s="1"/>
  <c r="F229" i="20"/>
  <c r="J170" i="15"/>
  <c r="I15" i="25"/>
  <c r="J143" i="25"/>
  <c r="K66" i="20"/>
  <c r="J128" i="16"/>
  <c r="J630" i="30"/>
  <c r="J402" i="30"/>
  <c r="J31" i="22"/>
  <c r="J56" i="25"/>
  <c r="K135" i="23"/>
  <c r="K140" i="23"/>
  <c r="J639" i="30"/>
  <c r="J605" i="30"/>
  <c r="J98" i="25"/>
  <c r="J580" i="30"/>
  <c r="J137" i="15"/>
  <c r="J172" i="15"/>
  <c r="K101" i="20"/>
  <c r="K102" i="20" s="1"/>
  <c r="J186" i="25"/>
  <c r="J133" i="16"/>
  <c r="J169" i="15"/>
  <c r="K71" i="23"/>
  <c r="K72" i="23" s="1"/>
  <c r="K73" i="23"/>
  <c r="H257" i="29"/>
  <c r="J602" i="30"/>
  <c r="J406" i="30"/>
  <c r="J175" i="15"/>
  <c r="J302" i="15"/>
  <c r="F91" i="17"/>
  <c r="J348" i="30"/>
  <c r="H34" i="27"/>
  <c r="H33" i="27"/>
  <c r="H32" i="27"/>
  <c r="H31" i="27"/>
  <c r="H30" i="27"/>
  <c r="H29" i="27"/>
  <c r="H28" i="27"/>
  <c r="H27" i="27"/>
  <c r="H26" i="27"/>
  <c r="H25" i="27"/>
  <c r="K48" i="20"/>
  <c r="J136" i="16"/>
  <c r="F89" i="17"/>
  <c r="J288" i="15"/>
  <c r="J305" i="15"/>
  <c r="J155" i="25"/>
  <c r="I30" i="25"/>
  <c r="I29" i="25"/>
  <c r="I28" i="25"/>
  <c r="I27" i="25"/>
  <c r="I26" i="25"/>
  <c r="I25" i="25"/>
  <c r="I24" i="25"/>
  <c r="I23" i="25"/>
  <c r="I22" i="25"/>
  <c r="J142" i="25"/>
  <c r="J141" i="25"/>
  <c r="J140" i="25"/>
  <c r="J139" i="25"/>
  <c r="J138" i="25"/>
  <c r="J137" i="25"/>
  <c r="J136" i="25"/>
  <c r="J135" i="25"/>
  <c r="J134" i="25"/>
  <c r="J309" i="15"/>
  <c r="F611" i="15"/>
  <c r="J252" i="16"/>
  <c r="J68" i="22"/>
  <c r="J8" i="16"/>
  <c r="J42" i="23"/>
  <c r="J41" i="23"/>
  <c r="J40" i="23"/>
  <c r="J39" i="23"/>
  <c r="J38" i="23"/>
  <c r="J37" i="23"/>
  <c r="J36" i="23"/>
  <c r="J35" i="23"/>
  <c r="J34" i="23"/>
  <c r="J357" i="16"/>
  <c r="J461" i="16"/>
  <c r="J412" i="30"/>
  <c r="K9" i="26"/>
  <c r="K160" i="23"/>
  <c r="K63" i="20"/>
  <c r="J29" i="17"/>
  <c r="J272" i="17"/>
  <c r="H85" i="29"/>
  <c r="K165" i="23"/>
  <c r="F293" i="30"/>
  <c r="J142" i="15"/>
  <c r="F175" i="20"/>
  <c r="K136" i="23"/>
  <c r="J249" i="16"/>
  <c r="J159" i="15"/>
  <c r="K154" i="23"/>
  <c r="K132" i="23"/>
  <c r="K117" i="20"/>
  <c r="J107" i="25"/>
  <c r="K54" i="20"/>
  <c r="K55" i="20" s="1"/>
  <c r="F318" i="17"/>
  <c r="J108" i="17"/>
  <c r="J11" i="16"/>
  <c r="H18" i="27"/>
  <c r="H19" i="27" s="1"/>
  <c r="I14" i="25"/>
  <c r="J421" i="30"/>
  <c r="K163" i="23"/>
  <c r="F467" i="30"/>
  <c r="F466" i="30"/>
  <c r="J24" i="23"/>
  <c r="J21" i="23"/>
  <c r="J22" i="23" s="1"/>
  <c r="K95" i="23"/>
  <c r="K107" i="20"/>
  <c r="K108" i="20"/>
  <c r="K92" i="23"/>
  <c r="F343" i="17"/>
  <c r="J150" i="25"/>
  <c r="K11" i="26"/>
  <c r="K103" i="20"/>
  <c r="K94" i="23"/>
  <c r="J172" i="25"/>
  <c r="K105" i="20"/>
  <c r="J351" i="16"/>
  <c r="J117" i="17"/>
  <c r="J116" i="17" s="1"/>
  <c r="J214" i="25"/>
  <c r="J263" i="17"/>
  <c r="J264" i="17" s="1"/>
  <c r="J212" i="25"/>
  <c r="J462" i="16"/>
  <c r="F360" i="15"/>
  <c r="K120" i="20"/>
  <c r="F738" i="30"/>
  <c r="J544" i="15"/>
  <c r="F723" i="30"/>
  <c r="J463" i="16"/>
  <c r="J464" i="16" s="1"/>
  <c r="K132" i="20"/>
  <c r="K79" i="20"/>
  <c r="K126" i="20"/>
  <c r="K73" i="20"/>
  <c r="K131" i="20"/>
  <c r="K78" i="20"/>
  <c r="K125" i="20"/>
  <c r="K72" i="20"/>
  <c r="K129" i="20"/>
  <c r="J10" i="17"/>
  <c r="J11" i="17" s="1"/>
  <c r="K76" i="20"/>
  <c r="F685" i="30"/>
  <c r="F684" i="30"/>
  <c r="F683" i="30"/>
  <c r="F682" i="30"/>
  <c r="F681" i="30"/>
  <c r="F680" i="30"/>
  <c r="F459" i="30"/>
  <c r="J217" i="25"/>
  <c r="F457" i="30"/>
  <c r="J131" i="15"/>
  <c r="K123" i="20"/>
  <c r="K70" i="20"/>
  <c r="J437" i="15"/>
  <c r="F531" i="15"/>
  <c r="J633" i="30"/>
  <c r="K127" i="20"/>
  <c r="J24" i="17"/>
  <c r="J140" i="15"/>
  <c r="K159" i="23"/>
  <c r="K166" i="23" s="1"/>
  <c r="K130" i="20"/>
  <c r="K77" i="20"/>
  <c r="K133" i="23"/>
  <c r="K124" i="20"/>
  <c r="G500" i="29"/>
  <c r="K128" i="20"/>
  <c r="K122" i="20"/>
  <c r="K75" i="20"/>
  <c r="K69" i="20"/>
  <c r="J577" i="30"/>
  <c r="J267" i="17"/>
  <c r="J266" i="17" s="1"/>
  <c r="F442" i="16"/>
  <c r="K144" i="23"/>
  <c r="K121" i="20"/>
  <c r="K104" i="20"/>
  <c r="K74" i="20"/>
  <c r="K68" i="20"/>
  <c r="J261" i="17"/>
  <c r="J260" i="17" s="1"/>
  <c r="J218" i="25"/>
  <c r="J297" i="15"/>
  <c r="F300" i="30"/>
  <c r="J253" i="16"/>
  <c r="J405" i="30"/>
  <c r="J22" i="16"/>
  <c r="J44" i="15"/>
  <c r="J43" i="15"/>
  <c r="J42" i="15"/>
  <c r="J41" i="15"/>
  <c r="J39" i="15"/>
  <c r="J38" i="15"/>
  <c r="J37" i="15"/>
  <c r="J357" i="30"/>
  <c r="J645" i="30"/>
  <c r="J642" i="30" s="1"/>
  <c r="J643" i="30" s="1"/>
  <c r="K71" i="20"/>
  <c r="J136" i="15"/>
  <c r="J131" i="16"/>
  <c r="G498" i="29"/>
  <c r="J49" i="22"/>
  <c r="J246" i="16"/>
  <c r="J126" i="17"/>
  <c r="J407" i="30"/>
  <c r="J408" i="30" s="1"/>
  <c r="J409" i="30" s="1"/>
  <c r="J401" i="30"/>
  <c r="J398" i="30"/>
  <c r="J582" i="30"/>
  <c r="J130" i="15"/>
  <c r="J579" i="30"/>
  <c r="K151" i="23"/>
  <c r="J471" i="16"/>
  <c r="J428" i="15"/>
  <c r="F724" i="30"/>
  <c r="F506" i="30"/>
  <c r="J333" i="30"/>
  <c r="J22" i="17"/>
  <c r="J23" i="17" s="1"/>
  <c r="H64" i="27"/>
  <c r="K122" i="23"/>
  <c r="J139" i="17"/>
  <c r="J140" i="17" s="1"/>
  <c r="J141" i="17" s="1"/>
  <c r="J28" i="17"/>
  <c r="J350" i="16"/>
  <c r="F440" i="16"/>
  <c r="H7" i="29"/>
  <c r="K143" i="23"/>
  <c r="K117" i="23"/>
  <c r="J81" i="22"/>
  <c r="K149" i="23"/>
  <c r="J73" i="25"/>
  <c r="J80" i="22"/>
  <c r="J130" i="17"/>
  <c r="J131" i="17" s="1"/>
  <c r="J132" i="17" s="1"/>
  <c r="H41" i="27"/>
  <c r="F737" i="30"/>
  <c r="J330" i="30"/>
  <c r="J574" i="30"/>
  <c r="J16" i="17"/>
  <c r="J354" i="30"/>
  <c r="J303" i="15"/>
  <c r="J363" i="30"/>
  <c r="F485" i="30"/>
  <c r="F486" i="30"/>
  <c r="F522" i="16"/>
  <c r="F530" i="16" s="1"/>
  <c r="J573" i="30"/>
  <c r="F307" i="30"/>
  <c r="J329" i="30"/>
  <c r="F708" i="30"/>
  <c r="H15" i="29"/>
  <c r="G372" i="29"/>
  <c r="H256" i="29"/>
  <c r="J247" i="16"/>
  <c r="H49" i="27"/>
  <c r="F188" i="20"/>
  <c r="K25" i="20"/>
  <c r="K64" i="23"/>
  <c r="J648" i="30"/>
  <c r="J48" i="22"/>
  <c r="J71" i="22"/>
  <c r="K61" i="23"/>
  <c r="J67" i="22"/>
  <c r="J185" i="25"/>
  <c r="F156" i="17"/>
  <c r="K42" i="20"/>
  <c r="F243" i="20"/>
  <c r="F159" i="17"/>
  <c r="F254" i="20"/>
  <c r="F317" i="30"/>
  <c r="F557" i="30"/>
  <c r="F481" i="30"/>
  <c r="J47" i="22"/>
  <c r="F566" i="15"/>
  <c r="F472" i="15"/>
  <c r="F345" i="15"/>
  <c r="F398" i="16"/>
  <c r="F113" i="22"/>
  <c r="F670" i="30"/>
  <c r="F343" i="15"/>
  <c r="F159" i="16"/>
  <c r="F498" i="16"/>
  <c r="J215" i="25"/>
  <c r="J216" i="25" s="1"/>
  <c r="F444" i="30"/>
  <c r="F471" i="15"/>
  <c r="F342" i="15"/>
  <c r="F170" i="17"/>
  <c r="F158" i="17"/>
  <c r="F344" i="15"/>
  <c r="F168" i="16"/>
  <c r="F158" i="16"/>
  <c r="F253" i="20"/>
  <c r="F227" i="20"/>
  <c r="F157" i="20"/>
  <c r="F668" i="30"/>
  <c r="F561" i="15"/>
  <c r="F341" i="15"/>
  <c r="F169" i="17"/>
  <c r="F157" i="17"/>
  <c r="F167" i="16"/>
  <c r="F192" i="15"/>
  <c r="F667" i="30"/>
  <c r="F442" i="30"/>
  <c r="F394" i="16"/>
  <c r="F191" i="15"/>
  <c r="F95" i="22"/>
  <c r="F251" i="20"/>
  <c r="F226" i="20"/>
  <c r="F156" i="20"/>
  <c r="F666" i="30"/>
  <c r="F339" i="15"/>
  <c r="F167" i="17"/>
  <c r="F155" i="17"/>
  <c r="F166" i="16"/>
  <c r="F156" i="16"/>
  <c r="F93" i="22"/>
  <c r="F392" i="16"/>
  <c r="F338" i="15"/>
  <c r="F249" i="20"/>
  <c r="F168" i="17"/>
  <c r="F155" i="16"/>
  <c r="F165" i="16"/>
  <c r="F154" i="20"/>
  <c r="F664" i="30"/>
  <c r="F665" i="30"/>
  <c r="F464" i="15"/>
  <c r="F337" i="15"/>
  <c r="F322" i="30"/>
  <c r="F153" i="17"/>
  <c r="F66" i="15"/>
  <c r="F154" i="16"/>
  <c r="F279" i="15"/>
  <c r="F90" i="22"/>
  <c r="F274" i="30"/>
  <c r="F223" i="20"/>
  <c r="F153" i="20"/>
  <c r="F663" i="30"/>
  <c r="F390" i="16"/>
  <c r="F336" i="15"/>
  <c r="F128" i="22"/>
  <c r="F273" i="30"/>
  <c r="F292" i="17"/>
  <c r="F272" i="30"/>
  <c r="F246" i="20"/>
  <c r="F221" i="20"/>
  <c r="F271" i="30"/>
  <c r="F319" i="30"/>
  <c r="F162" i="16"/>
  <c r="F55" i="15"/>
  <c r="F270" i="30"/>
  <c r="F244" i="20"/>
  <c r="F320" i="30"/>
  <c r="F46" i="17"/>
  <c r="F149" i="17"/>
  <c r="F220" i="20"/>
  <c r="F195" i="15"/>
  <c r="F150" i="20"/>
  <c r="F660" i="30"/>
  <c r="F658" i="30"/>
  <c r="F318" i="30"/>
  <c r="F45" i="17"/>
  <c r="F249" i="17"/>
  <c r="F36" i="16"/>
  <c r="F269" i="30"/>
  <c r="J107" i="17"/>
  <c r="F260" i="20"/>
  <c r="J366" i="30"/>
  <c r="J115" i="16"/>
  <c r="J474" i="16"/>
  <c r="J594" i="30"/>
  <c r="J360" i="30"/>
  <c r="J152" i="15"/>
  <c r="J294" i="15"/>
  <c r="F501" i="30"/>
  <c r="F231" i="17"/>
  <c r="J19" i="16"/>
  <c r="K14" i="26"/>
  <c r="F732" i="30"/>
  <c r="H50" i="27"/>
  <c r="J411" i="30"/>
  <c r="J468" i="16"/>
  <c r="J338" i="30"/>
  <c r="J339" i="30" s="1"/>
  <c r="J359" i="30"/>
  <c r="J149" i="15"/>
  <c r="F606" i="15"/>
  <c r="F181" i="17"/>
  <c r="F522" i="30"/>
  <c r="F567" i="15"/>
  <c r="J585" i="30"/>
  <c r="H65" i="27"/>
  <c r="J473" i="16"/>
  <c r="K19" i="26"/>
  <c r="F329" i="17"/>
  <c r="F328" i="17" s="1"/>
  <c r="F311" i="17"/>
  <c r="K25" i="26"/>
  <c r="K24" i="26"/>
  <c r="K23" i="26"/>
  <c r="K22" i="26"/>
  <c r="K21" i="26"/>
  <c r="K20" i="26"/>
  <c r="K18" i="26"/>
  <c r="K16" i="26"/>
  <c r="K17" i="26"/>
  <c r="K15" i="26"/>
  <c r="K13" i="26"/>
  <c r="K12" i="26"/>
  <c r="K10" i="26"/>
  <c r="K8" i="26"/>
  <c r="K7" i="26"/>
  <c r="K6" i="26"/>
  <c r="F704" i="30"/>
  <c r="F301" i="17"/>
  <c r="J586" i="30"/>
  <c r="J137" i="16"/>
  <c r="F229" i="16"/>
  <c r="F483" i="30"/>
  <c r="J273" i="17"/>
  <c r="F405" i="16"/>
  <c r="J646" i="30"/>
  <c r="F309" i="17"/>
  <c r="F194" i="17"/>
  <c r="J140" i="16"/>
  <c r="F276" i="30"/>
  <c r="F284" i="30" s="1"/>
  <c r="J365" i="16"/>
  <c r="F386" i="15"/>
  <c r="F214" i="17"/>
  <c r="F523" i="30"/>
  <c r="F542" i="30" s="1"/>
  <c r="F561" i="30" s="1"/>
  <c r="F709" i="30"/>
  <c r="F702" i="30"/>
  <c r="F589" i="15"/>
  <c r="F531" i="16"/>
  <c r="F66" i="16"/>
  <c r="F288" i="30"/>
  <c r="F312" i="30" s="1"/>
  <c r="F298" i="30"/>
  <c r="F303" i="17"/>
  <c r="F700" i="30"/>
  <c r="J11" i="15"/>
  <c r="J129" i="17"/>
  <c r="J345" i="16"/>
  <c r="F603" i="15"/>
  <c r="F587" i="15" s="1"/>
  <c r="F509" i="16"/>
  <c r="F196" i="17"/>
  <c r="J20" i="16"/>
  <c r="J354" i="16"/>
  <c r="J347" i="30"/>
  <c r="J576" i="30"/>
  <c r="F140" i="22"/>
  <c r="F139" i="22"/>
  <c r="J362" i="16"/>
  <c r="J363" i="16" s="1"/>
  <c r="F672" i="30"/>
  <c r="F304" i="30"/>
  <c r="J341" i="16"/>
  <c r="J436" i="15"/>
  <c r="F482" i="15"/>
  <c r="J17" i="17"/>
  <c r="F489" i="30"/>
  <c r="F508" i="30" s="1"/>
  <c r="F527" i="30" s="1"/>
  <c r="F546" i="30" s="1"/>
  <c r="F565" i="30" s="1"/>
  <c r="F519" i="15"/>
  <c r="J111" i="17"/>
  <c r="J119" i="17"/>
  <c r="J353" i="30"/>
  <c r="J13" i="16"/>
  <c r="J124" i="16"/>
  <c r="J467" i="16"/>
  <c r="J351" i="30"/>
  <c r="F581" i="15"/>
  <c r="J345" i="30"/>
  <c r="F503" i="15"/>
  <c r="F193" i="17"/>
  <c r="F178" i="17"/>
  <c r="F498" i="15"/>
  <c r="F301" i="30"/>
  <c r="F521" i="30"/>
  <c r="F286" i="30"/>
  <c r="F306" i="30"/>
  <c r="F249" i="15"/>
  <c r="F598" i="15"/>
  <c r="J336" i="30"/>
  <c r="J13" i="17"/>
  <c r="J332" i="30"/>
  <c r="F701" i="30"/>
  <c r="F217" i="16"/>
  <c r="F480" i="30"/>
  <c r="F541" i="30"/>
  <c r="F322" i="16"/>
  <c r="F548" i="30"/>
  <c r="J341" i="30"/>
  <c r="F474" i="30"/>
  <c r="F493" i="30" s="1"/>
  <c r="F503" i="30"/>
  <c r="J350" i="30"/>
  <c r="F277" i="30"/>
  <c r="J82" i="22"/>
  <c r="F699" i="30"/>
  <c r="F198" i="16"/>
  <c r="J412" i="15"/>
  <c r="J430" i="15"/>
  <c r="F560" i="30"/>
  <c r="J342" i="30"/>
  <c r="F179" i="16"/>
  <c r="J120" i="17"/>
  <c r="J146" i="15"/>
  <c r="J125" i="16"/>
  <c r="F718" i="30"/>
  <c r="F217" i="15"/>
  <c r="F504" i="30"/>
  <c r="F547" i="30"/>
  <c r="F240" i="17"/>
  <c r="F295" i="30"/>
  <c r="J7" i="15"/>
  <c r="J470" i="16"/>
  <c r="F520" i="30"/>
  <c r="F152" i="22"/>
  <c r="J148" i="15"/>
  <c r="F204" i="17"/>
  <c r="J14" i="16"/>
  <c r="J476" i="16"/>
  <c r="F363" i="15"/>
  <c r="F364" i="15" s="1"/>
  <c r="F394" i="15" s="1"/>
  <c r="F673" i="30"/>
  <c r="J427" i="15"/>
  <c r="F564" i="15"/>
  <c r="J335" i="30"/>
  <c r="F85" i="16"/>
  <c r="F246" i="15"/>
  <c r="F706" i="30"/>
  <c r="F591" i="15"/>
  <c r="F79" i="15"/>
  <c r="F238" i="15"/>
  <c r="J110" i="17"/>
  <c r="F514" i="15"/>
  <c r="F586" i="15"/>
  <c r="J121" i="16"/>
  <c r="J421" i="15"/>
  <c r="F86" i="17"/>
  <c r="J20" i="17"/>
  <c r="J19" i="17" s="1"/>
  <c r="J592" i="30"/>
  <c r="F396" i="15"/>
  <c r="F227" i="17"/>
  <c r="F255" i="15"/>
  <c r="F278" i="30"/>
  <c r="F158" i="22"/>
  <c r="F382" i="15"/>
  <c r="F609" i="15"/>
  <c r="F583" i="15"/>
  <c r="F410" i="16"/>
  <c r="F479" i="15"/>
  <c r="F511" i="30"/>
  <c r="F334" i="17"/>
  <c r="J418" i="15"/>
  <c r="F92" i="16"/>
  <c r="F577" i="15"/>
  <c r="J130" i="16"/>
  <c r="F480" i="15"/>
  <c r="J344" i="16"/>
  <c r="F493" i="15"/>
  <c r="F289" i="30"/>
  <c r="J16" i="15"/>
  <c r="F524" i="16"/>
  <c r="F406" i="16"/>
  <c r="F754" i="30"/>
  <c r="F144" i="22"/>
  <c r="J139" i="15"/>
  <c r="F142" i="22"/>
  <c r="F285" i="30"/>
  <c r="F530" i="30"/>
  <c r="F674" i="30"/>
  <c r="F568" i="15"/>
  <c r="F505" i="30"/>
  <c r="F753" i="30"/>
  <c r="F290" i="30"/>
  <c r="J145" i="15"/>
  <c r="F87" i="17"/>
  <c r="F210" i="17"/>
  <c r="F90" i="15"/>
  <c r="F310" i="30"/>
  <c r="F302" i="30"/>
  <c r="F305" i="30"/>
  <c r="F84" i="15"/>
  <c r="F69" i="15"/>
  <c r="F739" i="30"/>
  <c r="F601" i="15"/>
  <c r="F294" i="30"/>
  <c r="F722" i="30"/>
  <c r="F299" i="30"/>
  <c r="F389" i="15"/>
  <c r="F569" i="15"/>
  <c r="J356" i="16"/>
  <c r="F534" i="30"/>
  <c r="F399" i="15"/>
  <c r="F115" i="15"/>
  <c r="F225" i="17"/>
  <c r="F714" i="30"/>
  <c r="F728" i="30" s="1"/>
  <c r="F285" i="16"/>
  <c r="F309" i="30"/>
  <c r="F75" i="17"/>
  <c r="F751" i="30"/>
  <c r="F475" i="15"/>
  <c r="F505" i="16"/>
  <c r="F551" i="30"/>
  <c r="F516" i="16"/>
  <c r="F195" i="17"/>
  <c r="F574" i="15"/>
  <c r="J14" i="17"/>
  <c r="F332" i="17"/>
  <c r="F341" i="17" s="1"/>
  <c r="F676" i="30"/>
  <c r="F172" i="16"/>
  <c r="I21" i="25"/>
  <c r="J344" i="30"/>
  <c r="F692" i="30"/>
  <c r="F75" i="15"/>
  <c r="F228" i="16"/>
  <c r="F57" i="16"/>
  <c r="F359" i="15"/>
  <c r="F368" i="15"/>
  <c r="J293" i="15"/>
  <c r="F203" i="16"/>
  <c r="F593" i="15"/>
  <c r="F70" i="16"/>
  <c r="F187" i="16"/>
  <c r="F416" i="16"/>
  <c r="F415" i="16" s="1"/>
  <c r="F297" i="30"/>
  <c r="F373" i="15"/>
  <c r="F54" i="16"/>
  <c r="F686" i="30"/>
  <c r="F349" i="15"/>
  <c r="F736" i="30"/>
  <c r="F67" i="16"/>
  <c r="F748" i="30"/>
  <c r="F470" i="30"/>
  <c r="F469" i="30"/>
  <c r="F468" i="30"/>
  <c r="F502" i="30"/>
  <c r="F482" i="30"/>
  <c r="F458" i="30"/>
  <c r="F733" i="30"/>
  <c r="F487" i="30"/>
  <c r="F488" i="30" s="1"/>
  <c r="F507" i="30" s="1"/>
  <c r="F526" i="30" s="1"/>
  <c r="F545" i="30" s="1"/>
  <c r="F564" i="30" s="1"/>
  <c r="F313" i="30"/>
  <c r="F282" i="30"/>
  <c r="F281" i="30"/>
  <c r="F280" i="30"/>
  <c r="F279" i="30"/>
  <c r="F752" i="30"/>
  <c r="F710" i="30"/>
  <c r="F514" i="16"/>
  <c r="F523" i="16" s="1"/>
  <c r="F750" i="30"/>
  <c r="F479" i="30"/>
  <c r="J353" i="16"/>
  <c r="F340" i="17"/>
  <c r="F234" i="15"/>
  <c r="F554" i="30"/>
  <c r="F535" i="30"/>
  <c r="F721" i="30"/>
  <c r="F707" i="30"/>
  <c r="F693" i="30"/>
  <c r="J270" i="17"/>
  <c r="J28" i="15"/>
  <c r="F237" i="17"/>
  <c r="F97" i="15"/>
  <c r="F73" i="16"/>
  <c r="F184" i="16"/>
  <c r="F747" i="30"/>
  <c r="F314" i="30"/>
  <c r="F705" i="30"/>
  <c r="F691" i="30"/>
  <c r="J23" i="15"/>
  <c r="J22" i="15"/>
  <c r="F104" i="15"/>
  <c r="F72" i="16"/>
  <c r="F220" i="15"/>
  <c r="J19" i="15"/>
  <c r="F233" i="17"/>
  <c r="F251" i="15"/>
  <c r="F181" i="16"/>
  <c r="F311" i="30"/>
  <c r="F287" i="30"/>
  <c r="F472" i="30"/>
  <c r="J14" i="15"/>
  <c r="F283" i="30"/>
  <c r="K109" i="20"/>
  <c r="J245" i="16"/>
  <c r="J106" i="17"/>
  <c r="J541" i="15"/>
  <c r="J547" i="15"/>
  <c r="J546" i="15"/>
  <c r="J545" i="15"/>
  <c r="J542" i="15"/>
  <c r="H254" i="29"/>
  <c r="H16" i="29"/>
  <c r="H14" i="29"/>
  <c r="H13" i="29"/>
  <c r="H86" i="29"/>
  <c r="H12" i="29"/>
  <c r="H11" i="29"/>
  <c r="H84" i="29"/>
  <c r="H10" i="29"/>
  <c r="H83" i="29"/>
  <c r="H9" i="29"/>
  <c r="H82" i="29"/>
  <c r="H8" i="29"/>
  <c r="H6" i="29"/>
  <c r="G437" i="29"/>
  <c r="G499" i="29"/>
  <c r="G436" i="29"/>
  <c r="G435" i="29"/>
  <c r="G497" i="29"/>
  <c r="G434" i="29"/>
  <c r="G433" i="29"/>
  <c r="G496" i="29"/>
  <c r="G432" i="29"/>
  <c r="G495" i="29"/>
  <c r="G431" i="29"/>
  <c r="G430" i="29"/>
  <c r="G493" i="29"/>
  <c r="G429" i="29"/>
  <c r="G373" i="29"/>
  <c r="H194" i="29"/>
  <c r="H193" i="29"/>
  <c r="G371" i="29"/>
  <c r="H192" i="29"/>
  <c r="G370" i="29"/>
  <c r="H255" i="29"/>
  <c r="H191" i="29"/>
  <c r="H190" i="29"/>
  <c r="G369" i="29"/>
  <c r="H253" i="29"/>
  <c r="H189" i="29"/>
  <c r="H188" i="29"/>
  <c r="H187" i="29"/>
  <c r="G366" i="29"/>
  <c r="H186" i="29"/>
  <c r="H130" i="29"/>
  <c r="G319" i="29"/>
  <c r="H129" i="29"/>
  <c r="G318" i="29"/>
  <c r="H128" i="29"/>
  <c r="G317" i="29"/>
  <c r="H127" i="29"/>
  <c r="H126" i="29"/>
  <c r="G316" i="29"/>
  <c r="H125" i="29"/>
  <c r="G315" i="29"/>
  <c r="H124" i="29"/>
  <c r="H123" i="29"/>
  <c r="G314" i="29"/>
  <c r="H122" i="29"/>
  <c r="J251" i="16"/>
  <c r="F193" i="20"/>
  <c r="F178" i="20"/>
  <c r="F500" i="16"/>
  <c r="F492" i="16"/>
  <c r="F433" i="30"/>
  <c r="H16" i="27"/>
  <c r="F436" i="30"/>
  <c r="J250" i="16"/>
  <c r="J636" i="30"/>
  <c r="J581" i="30"/>
  <c r="J578" i="30"/>
  <c r="J575" i="30"/>
  <c r="J572" i="30"/>
  <c r="J627" i="30" s="1"/>
  <c r="J628" i="30" s="1"/>
  <c r="J629" i="30" s="1"/>
  <c r="J410" i="30"/>
  <c r="J404" i="30"/>
  <c r="J340" i="30"/>
  <c r="J337" i="30"/>
  <c r="J334" i="30"/>
  <c r="J331" i="30"/>
  <c r="J328" i="30"/>
  <c r="F340" i="15"/>
  <c r="H17" i="27"/>
  <c r="F449" i="30"/>
  <c r="F450" i="30" s="1"/>
  <c r="F451" i="30" s="1"/>
  <c r="F448" i="30"/>
  <c r="F447" i="30"/>
  <c r="F192" i="20"/>
  <c r="F177" i="20"/>
  <c r="J158" i="25"/>
  <c r="F239" i="20"/>
  <c r="F238" i="20"/>
  <c r="F237" i="20"/>
  <c r="F235" i="20"/>
  <c r="F248" i="20"/>
  <c r="J20" i="23"/>
  <c r="F172" i="17"/>
  <c r="F203" i="20"/>
  <c r="J19" i="23"/>
  <c r="F170" i="16"/>
  <c r="F169" i="16"/>
  <c r="J18" i="23"/>
  <c r="F201" i="20"/>
  <c r="K93" i="23"/>
  <c r="J17" i="23"/>
  <c r="J119" i="25"/>
  <c r="F163" i="20"/>
  <c r="J34" i="22"/>
  <c r="J33" i="22"/>
  <c r="J32" i="22"/>
  <c r="K152" i="23"/>
  <c r="K114" i="23"/>
  <c r="K115" i="23" s="1"/>
  <c r="K116" i="23" s="1"/>
  <c r="J16" i="23"/>
  <c r="J195" i="25"/>
  <c r="J118" i="25"/>
  <c r="J104" i="25"/>
  <c r="F162" i="20"/>
  <c r="J30" i="22"/>
  <c r="J29" i="22"/>
  <c r="J28" i="22"/>
  <c r="H15" i="27"/>
  <c r="K69" i="23"/>
  <c r="K113" i="23"/>
  <c r="K91" i="23"/>
  <c r="J15" i="23"/>
  <c r="J438" i="15"/>
  <c r="J439" i="15" s="1"/>
  <c r="J440" i="15" s="1"/>
  <c r="J313" i="15"/>
  <c r="J314" i="15" s="1"/>
  <c r="J315" i="15" s="1"/>
  <c r="J194" i="25"/>
  <c r="J124" i="25"/>
  <c r="J103" i="25"/>
  <c r="F161" i="20"/>
  <c r="F191" i="20"/>
  <c r="F176" i="20"/>
  <c r="F207" i="20"/>
  <c r="J25" i="22"/>
  <c r="J27" i="22"/>
  <c r="J26" i="22"/>
  <c r="H13" i="21"/>
  <c r="J367" i="30"/>
  <c r="J179" i="23"/>
  <c r="K150" i="23"/>
  <c r="H48" i="27"/>
  <c r="H14" i="27"/>
  <c r="K68" i="23"/>
  <c r="K112" i="23"/>
  <c r="K90" i="23"/>
  <c r="J53" i="23"/>
  <c r="J14" i="23"/>
  <c r="H23" i="21"/>
  <c r="J481" i="16"/>
  <c r="J364" i="16"/>
  <c r="J456" i="15"/>
  <c r="J435" i="15"/>
  <c r="J330" i="15"/>
  <c r="J310" i="15"/>
  <c r="J311" i="15" s="1"/>
  <c r="J211" i="25"/>
  <c r="J193" i="25"/>
  <c r="J128" i="25"/>
  <c r="J116" i="25"/>
  <c r="J102" i="25"/>
  <c r="F160" i="20"/>
  <c r="F190" i="20"/>
  <c r="J58" i="22"/>
  <c r="J23" i="22"/>
  <c r="J59" i="22"/>
  <c r="J24" i="22"/>
  <c r="H12" i="21"/>
  <c r="J364" i="30"/>
  <c r="J178" i="23"/>
  <c r="H63" i="27"/>
  <c r="H47" i="27"/>
  <c r="H13" i="27"/>
  <c r="K67" i="23"/>
  <c r="K124" i="23"/>
  <c r="K125" i="23" s="1"/>
  <c r="K111" i="23"/>
  <c r="K89" i="23"/>
  <c r="J52" i="23"/>
  <c r="J13" i="23"/>
  <c r="H22" i="21"/>
  <c r="J478" i="16"/>
  <c r="J361" i="16"/>
  <c r="J455" i="15"/>
  <c r="J432" i="15"/>
  <c r="J433" i="15" s="1"/>
  <c r="J329" i="15"/>
  <c r="J307" i="15"/>
  <c r="J141" i="16"/>
  <c r="J157" i="15"/>
  <c r="J210" i="25"/>
  <c r="J192" i="25"/>
  <c r="J127" i="25"/>
  <c r="J115" i="25"/>
  <c r="J101" i="25"/>
  <c r="J168" i="25"/>
  <c r="J87" i="25"/>
  <c r="J76" i="25"/>
  <c r="J65" i="25"/>
  <c r="F174" i="20"/>
  <c r="F159" i="20"/>
  <c r="F189" i="20"/>
  <c r="J57" i="22"/>
  <c r="J22" i="22"/>
  <c r="J56" i="22"/>
  <c r="J79" i="22"/>
  <c r="J21" i="22"/>
  <c r="I13" i="25"/>
  <c r="H11" i="21"/>
  <c r="J361" i="30"/>
  <c r="K158" i="23"/>
  <c r="J177" i="23"/>
  <c r="K148" i="23"/>
  <c r="H62" i="27"/>
  <c r="H46" i="27"/>
  <c r="H12" i="27"/>
  <c r="K66" i="23"/>
  <c r="K123" i="23"/>
  <c r="K110" i="23"/>
  <c r="K88" i="23"/>
  <c r="J51" i="23"/>
  <c r="J12" i="23"/>
  <c r="H21" i="21"/>
  <c r="J475" i="16"/>
  <c r="J280" i="17"/>
  <c r="J281" i="17" s="1"/>
  <c r="J282" i="17" s="1"/>
  <c r="J358" i="16"/>
  <c r="J454" i="15"/>
  <c r="J429" i="15"/>
  <c r="J328" i="15"/>
  <c r="J304" i="15"/>
  <c r="J136" i="17"/>
  <c r="J137" i="17" s="1"/>
  <c r="J138" i="17" s="1"/>
  <c r="J138" i="16"/>
  <c r="J154" i="15"/>
  <c r="J209" i="25"/>
  <c r="J191" i="25"/>
  <c r="J126" i="25"/>
  <c r="J114" i="25"/>
  <c r="J100" i="25"/>
  <c r="J167" i="25"/>
  <c r="J86" i="25"/>
  <c r="J75" i="25"/>
  <c r="J64" i="25"/>
  <c r="F172" i="20"/>
  <c r="J55" i="22"/>
  <c r="J78" i="22"/>
  <c r="J20" i="22"/>
  <c r="J54" i="22"/>
  <c r="J77" i="22"/>
  <c r="J19" i="22"/>
  <c r="J53" i="22"/>
  <c r="J76" i="22"/>
  <c r="J18" i="22"/>
  <c r="H10" i="21"/>
  <c r="I12" i="25"/>
  <c r="K26" i="20"/>
  <c r="J599" i="30"/>
  <c r="J358" i="30"/>
  <c r="K157" i="23"/>
  <c r="J176" i="23"/>
  <c r="K147" i="23"/>
  <c r="H61" i="27"/>
  <c r="H45" i="27"/>
  <c r="H11" i="27"/>
  <c r="K65" i="23"/>
  <c r="K109" i="23"/>
  <c r="K87" i="23"/>
  <c r="J50" i="23"/>
  <c r="J11" i="23"/>
  <c r="H20" i="21"/>
  <c r="J472" i="16"/>
  <c r="J277" i="17"/>
  <c r="J278" i="17" s="1"/>
  <c r="J279" i="17" s="1"/>
  <c r="J355" i="16"/>
  <c r="J453" i="15"/>
  <c r="J426" i="15"/>
  <c r="J327" i="15"/>
  <c r="J301" i="15"/>
  <c r="J133" i="17"/>
  <c r="J134" i="17" s="1"/>
  <c r="J135" i="17" s="1"/>
  <c r="J135" i="16"/>
  <c r="J151" i="15"/>
  <c r="J208" i="25"/>
  <c r="J190" i="25"/>
  <c r="J125" i="25"/>
  <c r="J113" i="25"/>
  <c r="J99" i="25"/>
  <c r="J177" i="25"/>
  <c r="J178" i="25" s="1"/>
  <c r="J179" i="25" s="1"/>
  <c r="J166" i="25"/>
  <c r="J157" i="25"/>
  <c r="J85" i="25"/>
  <c r="J74" i="25"/>
  <c r="J63" i="25"/>
  <c r="J75" i="22"/>
  <c r="J17" i="22"/>
  <c r="J51" i="22"/>
  <c r="J16" i="22"/>
  <c r="H9" i="21"/>
  <c r="I11" i="25"/>
  <c r="J355" i="30"/>
  <c r="H60" i="27"/>
  <c r="H44" i="27"/>
  <c r="H10" i="27"/>
  <c r="K108" i="23"/>
  <c r="K86" i="23"/>
  <c r="J10" i="23"/>
  <c r="J274" i="17"/>
  <c r="J275" i="17" s="1"/>
  <c r="J276" i="17" s="1"/>
  <c r="J452" i="15"/>
  <c r="J423" i="15"/>
  <c r="J326" i="15"/>
  <c r="J298" i="15"/>
  <c r="J150" i="15"/>
  <c r="J207" i="25"/>
  <c r="J189" i="25"/>
  <c r="J112" i="25"/>
  <c r="J165" i="25"/>
  <c r="J156" i="25"/>
  <c r="J84" i="25"/>
  <c r="J62" i="25"/>
  <c r="F186" i="20"/>
  <c r="J50" i="22"/>
  <c r="J74" i="22"/>
  <c r="J15" i="22"/>
  <c r="J73" i="22"/>
  <c r="J14" i="22"/>
  <c r="H8" i="21"/>
  <c r="I10" i="25"/>
  <c r="K24" i="20"/>
  <c r="J593" i="30"/>
  <c r="J422" i="30"/>
  <c r="J352" i="30"/>
  <c r="K156" i="23"/>
  <c r="K164" i="23"/>
  <c r="J175" i="23"/>
  <c r="K146" i="23"/>
  <c r="H59" i="27"/>
  <c r="H43" i="27"/>
  <c r="H9" i="27"/>
  <c r="K63" i="23"/>
  <c r="K121" i="23"/>
  <c r="K107" i="23"/>
  <c r="K85" i="23"/>
  <c r="J49" i="23"/>
  <c r="J9" i="23"/>
  <c r="H19" i="21"/>
  <c r="J469" i="16"/>
  <c r="J271" i="17"/>
  <c r="J377" i="16"/>
  <c r="J352" i="16"/>
  <c r="J543" i="15"/>
  <c r="J451" i="15"/>
  <c r="J420" i="15"/>
  <c r="J325" i="15"/>
  <c r="J295" i="15"/>
  <c r="J127" i="17"/>
  <c r="J132" i="16"/>
  <c r="J147" i="15"/>
  <c r="J206" i="25"/>
  <c r="J188" i="25"/>
  <c r="J123" i="25"/>
  <c r="J111" i="25"/>
  <c r="J97" i="25"/>
  <c r="J164" i="25"/>
  <c r="J83" i="25"/>
  <c r="J72" i="25"/>
  <c r="J61" i="25"/>
  <c r="J72" i="22"/>
  <c r="J13" i="22"/>
  <c r="J12" i="22"/>
  <c r="J46" i="22"/>
  <c r="J70" i="22"/>
  <c r="J11" i="22"/>
  <c r="H7" i="21"/>
  <c r="I9" i="25"/>
  <c r="K12" i="20"/>
  <c r="K23" i="20"/>
  <c r="J590" i="30"/>
  <c r="J419" i="30"/>
  <c r="J349" i="30"/>
  <c r="K155" i="23"/>
  <c r="K162" i="23" s="1"/>
  <c r="J174" i="23"/>
  <c r="K145" i="23"/>
  <c r="H58" i="27"/>
  <c r="H42" i="27"/>
  <c r="H8" i="27"/>
  <c r="K62" i="23"/>
  <c r="K106" i="23"/>
  <c r="K84" i="23"/>
  <c r="J23" i="23"/>
  <c r="J8" i="23"/>
  <c r="J466" i="16"/>
  <c r="J268" i="17"/>
  <c r="J376" i="16"/>
  <c r="J349" i="16"/>
  <c r="J450" i="15"/>
  <c r="J417" i="15"/>
  <c r="J324" i="15"/>
  <c r="J292" i="15"/>
  <c r="J27" i="17"/>
  <c r="J124" i="17"/>
  <c r="J129" i="16"/>
  <c r="J144" i="15"/>
  <c r="J27" i="16"/>
  <c r="J27" i="15"/>
  <c r="J205" i="25"/>
  <c r="J187" i="25"/>
  <c r="J122" i="25"/>
  <c r="J110" i="25"/>
  <c r="J96" i="25"/>
  <c r="J174" i="25"/>
  <c r="J163" i="25"/>
  <c r="J154" i="25"/>
  <c r="J82" i="25"/>
  <c r="J71" i="25"/>
  <c r="J60" i="25"/>
  <c r="F183" i="20"/>
  <c r="J10" i="22"/>
  <c r="J69" i="22"/>
  <c r="H6" i="21"/>
  <c r="I8" i="25"/>
  <c r="K11" i="20"/>
  <c r="K22" i="20"/>
  <c r="J587" i="30"/>
  <c r="J416" i="30"/>
  <c r="J417" i="30" s="1"/>
  <c r="J418" i="30" s="1"/>
  <c r="J346" i="30"/>
  <c r="H57" i="27"/>
  <c r="H7" i="27"/>
  <c r="K105" i="23"/>
  <c r="K83" i="23"/>
  <c r="K96" i="23" s="1"/>
  <c r="J7" i="23"/>
  <c r="F141" i="22"/>
  <c r="J265" i="17"/>
  <c r="J375" i="16"/>
  <c r="J346" i="16"/>
  <c r="J347" i="16" s="1"/>
  <c r="J348" i="16" s="1"/>
  <c r="J449" i="15"/>
  <c r="J414" i="15"/>
  <c r="J323" i="15"/>
  <c r="J289" i="15"/>
  <c r="J121" i="17"/>
  <c r="J122" i="17" s="1"/>
  <c r="J123" i="17" s="1"/>
  <c r="J126" i="16"/>
  <c r="J141" i="15"/>
  <c r="J24" i="15"/>
  <c r="J213" i="25"/>
  <c r="J204" i="25"/>
  <c r="J121" i="25"/>
  <c r="J109" i="25"/>
  <c r="J95" i="25"/>
  <c r="J162" i="25"/>
  <c r="J153" i="25"/>
  <c r="J81" i="25"/>
  <c r="J70" i="25"/>
  <c r="J59" i="25"/>
  <c r="J43" i="22"/>
  <c r="J8" i="22"/>
  <c r="J41" i="22"/>
  <c r="I7" i="25"/>
  <c r="K53" i="20"/>
  <c r="K46" i="20"/>
  <c r="K10" i="20"/>
  <c r="K21" i="20"/>
  <c r="J584" i="30"/>
  <c r="J413" i="30"/>
  <c r="J343" i="30"/>
  <c r="K153" i="23"/>
  <c r="K161" i="23"/>
  <c r="H56" i="27"/>
  <c r="H40" i="27"/>
  <c r="H6" i="27"/>
  <c r="K60" i="23"/>
  <c r="K104" i="23"/>
  <c r="K82" i="23"/>
  <c r="J6" i="23"/>
  <c r="J43" i="25"/>
  <c r="J460" i="16"/>
  <c r="J262" i="17"/>
  <c r="J343" i="16"/>
  <c r="J540" i="15"/>
  <c r="J448" i="15"/>
  <c r="J411" i="15"/>
  <c r="J322" i="15"/>
  <c r="J286" i="15"/>
  <c r="J21" i="17"/>
  <c r="J118" i="17"/>
  <c r="J123" i="16"/>
  <c r="J138" i="15"/>
  <c r="J21" i="16"/>
  <c r="J21" i="15"/>
  <c r="J203" i="25"/>
  <c r="J120" i="25"/>
  <c r="J108" i="25"/>
  <c r="J94" i="25"/>
  <c r="J161" i="25"/>
  <c r="J152" i="25"/>
  <c r="J80" i="25"/>
  <c r="J69" i="25"/>
  <c r="J58" i="25"/>
  <c r="F182" i="20"/>
  <c r="F166" i="20"/>
  <c r="I6" i="25"/>
  <c r="K52" i="20"/>
  <c r="K45" i="20"/>
  <c r="K67" i="20"/>
  <c r="K64" i="20"/>
  <c r="K9" i="20"/>
  <c r="K20" i="20"/>
  <c r="J42" i="25"/>
  <c r="J457" i="16"/>
  <c r="J259" i="17"/>
  <c r="J340" i="16"/>
  <c r="J18" i="17"/>
  <c r="J115" i="17"/>
  <c r="J120" i="16"/>
  <c r="J135" i="15"/>
  <c r="J18" i="16"/>
  <c r="J18" i="15"/>
  <c r="J171" i="25"/>
  <c r="J160" i="25"/>
  <c r="J77" i="25"/>
  <c r="J68" i="25"/>
  <c r="J67" i="25" s="1"/>
  <c r="J57" i="25"/>
  <c r="K51" i="20"/>
  <c r="K44" i="20"/>
  <c r="K8" i="20"/>
  <c r="K19" i="20"/>
  <c r="J41" i="25"/>
  <c r="J117" i="16"/>
  <c r="J132" i="15"/>
  <c r="J15" i="15"/>
  <c r="J159" i="25"/>
  <c r="K106" i="20"/>
  <c r="K118" i="20"/>
  <c r="K119" i="20" s="1"/>
  <c r="K115" i="20"/>
  <c r="K116" i="20" s="1"/>
  <c r="K50" i="20"/>
  <c r="K43" i="20"/>
  <c r="K65" i="20"/>
  <c r="K62" i="20"/>
  <c r="K7" i="20"/>
  <c r="K18" i="20"/>
  <c r="J40" i="25"/>
  <c r="J12" i="17"/>
  <c r="J109" i="17"/>
  <c r="J114" i="16"/>
  <c r="J129" i="15"/>
  <c r="J12" i="16"/>
  <c r="J12" i="15"/>
  <c r="J169" i="25"/>
  <c r="J170" i="25" s="1"/>
  <c r="J66" i="25"/>
  <c r="K49" i="20"/>
  <c r="K6" i="20"/>
  <c r="J39" i="25"/>
  <c r="J9" i="17"/>
  <c r="J9" i="16"/>
  <c r="J9" i="15"/>
  <c r="J38" i="25"/>
  <c r="J6" i="17"/>
  <c r="J7" i="17" s="1"/>
  <c r="J8" i="17" s="1"/>
  <c r="J6" i="16"/>
  <c r="J6" i="15"/>
  <c r="J37" i="25"/>
  <c r="J36" i="25"/>
  <c r="K40" i="26"/>
  <c r="K38" i="26"/>
  <c r="K36" i="26"/>
  <c r="F404" i="15"/>
  <c r="F525" i="30"/>
  <c r="F544" i="30" s="1"/>
  <c r="F563" i="30" s="1"/>
  <c r="F461" i="30"/>
  <c r="J370" i="30"/>
  <c r="J371" i="30" s="1"/>
  <c r="J372" i="30" s="1"/>
  <c r="J644" i="30" l="1"/>
  <c r="F195" i="23"/>
  <c r="F536" i="30"/>
  <c r="F669" i="30"/>
  <c r="F360" i="29"/>
  <c r="F54" i="15"/>
  <c r="F280" i="15"/>
  <c r="F355" i="15"/>
  <c r="F281" i="16"/>
  <c r="F513" i="29"/>
  <c r="F280" i="16"/>
  <c r="F282" i="29"/>
  <c r="F487" i="29"/>
  <c r="F241" i="29"/>
  <c r="F278" i="29"/>
  <c r="F473" i="29"/>
  <c r="F51" i="29"/>
  <c r="F67" i="29"/>
  <c r="F173" i="29"/>
  <c r="F277" i="29"/>
  <c r="F179" i="29"/>
  <c r="F327" i="29"/>
  <c r="F75" i="29"/>
  <c r="F230" i="29"/>
  <c r="F359" i="29"/>
  <c r="F466" i="29"/>
  <c r="F138" i="29"/>
  <c r="F162" i="29"/>
  <c r="F52" i="29"/>
  <c r="F166" i="29"/>
  <c r="F287" i="29"/>
  <c r="F53" i="29"/>
  <c r="F402" i="29"/>
  <c r="F58" i="29"/>
  <c r="F178" i="29"/>
  <c r="F294" i="29"/>
  <c r="F409" i="29"/>
  <c r="F451" i="29"/>
  <c r="F108" i="29"/>
  <c r="F266" i="29"/>
  <c r="F381" i="29"/>
  <c r="F24" i="29"/>
  <c r="F116" i="29"/>
  <c r="F72" i="29"/>
  <c r="F180" i="29"/>
  <c r="F342" i="29"/>
  <c r="F529" i="29"/>
  <c r="F73" i="29"/>
  <c r="F346" i="29"/>
  <c r="F423" i="29"/>
  <c r="F74" i="29"/>
  <c r="F536" i="29"/>
  <c r="F240" i="29"/>
  <c r="F457" i="29"/>
  <c r="F157" i="29"/>
  <c r="F520" i="29"/>
  <c r="F103" i="29"/>
  <c r="F214" i="29"/>
  <c r="F291" i="29"/>
  <c r="F483" i="29"/>
  <c r="F208" i="29"/>
  <c r="F38" i="29"/>
  <c r="F393" i="29"/>
  <c r="F304" i="29"/>
  <c r="F150" i="29"/>
  <c r="F305" i="29"/>
  <c r="F345" i="29"/>
  <c r="F66" i="29"/>
  <c r="F482" i="29"/>
  <c r="F104" i="29"/>
  <c r="F279" i="29"/>
  <c r="F215" i="29"/>
  <c r="F47" i="29"/>
  <c r="F100" i="29"/>
  <c r="F272" i="29"/>
  <c r="F484" i="29"/>
  <c r="F420" i="29"/>
  <c r="F102" i="29"/>
  <c r="F521" i="29"/>
  <c r="F39" i="29"/>
  <c r="F101" i="29"/>
  <c r="F394" i="29"/>
  <c r="F48" i="29"/>
  <c r="F172" i="29"/>
  <c r="F239" i="29"/>
  <c r="F109" i="29"/>
  <c r="F337" i="29"/>
  <c r="F400" i="29"/>
  <c r="F40" i="29"/>
  <c r="F391" i="29"/>
  <c r="F545" i="29"/>
  <c r="F98" i="29"/>
  <c r="F99" i="29"/>
  <c r="F219" i="29"/>
  <c r="F283" i="29"/>
  <c r="F398" i="29"/>
  <c r="F399" i="29"/>
  <c r="F458" i="29"/>
  <c r="F474" i="29"/>
  <c r="F301" i="29"/>
  <c r="F479" i="29"/>
  <c r="F530" i="29"/>
  <c r="F292" i="29"/>
  <c r="F41" i="29"/>
  <c r="F42" i="29"/>
  <c r="F518" i="29"/>
  <c r="F149" i="29"/>
  <c r="F271" i="29"/>
  <c r="F289" i="29"/>
  <c r="F145" i="29"/>
  <c r="F156" i="29"/>
  <c r="F37" i="29"/>
  <c r="F303" i="29"/>
  <c r="F97" i="29"/>
  <c r="F35" i="29"/>
  <c r="F36" i="29"/>
  <c r="F455" i="29"/>
  <c r="F170" i="29"/>
  <c r="F415" i="29"/>
  <c r="F480" i="29"/>
  <c r="F231" i="29"/>
  <c r="F237" i="29"/>
  <c r="F468" i="29"/>
  <c r="F236" i="29"/>
  <c r="F403" i="29"/>
  <c r="F542" i="29"/>
  <c r="F146" i="29"/>
  <c r="F62" i="29"/>
  <c r="F225" i="29"/>
  <c r="F447" i="29"/>
  <c r="F302" i="29"/>
  <c r="F273" i="29"/>
  <c r="F177" i="29"/>
  <c r="F352" i="29"/>
  <c r="F453" i="29"/>
  <c r="F541" i="29"/>
  <c r="F329" i="29"/>
  <c r="F357" i="29"/>
  <c r="F210" i="29"/>
  <c r="F388" i="29"/>
  <c r="F532" i="29"/>
  <c r="F204" i="29"/>
  <c r="F274" i="29"/>
  <c r="F334" i="29"/>
  <c r="F454" i="29"/>
  <c r="F538" i="29"/>
  <c r="F45" i="29"/>
  <c r="F276" i="29"/>
  <c r="F335" i="29"/>
  <c r="F456" i="29"/>
  <c r="F46" i="29"/>
  <c r="F298" i="29"/>
  <c r="F531" i="29"/>
  <c r="F33" i="29"/>
  <c r="F34" i="29"/>
  <c r="F111" i="29"/>
  <c r="F515" i="29"/>
  <c r="F344" i="29"/>
  <c r="F152" i="29"/>
  <c r="F153" i="29"/>
  <c r="F216" i="29"/>
  <c r="F533" i="29"/>
  <c r="F30" i="29"/>
  <c r="F106" i="29"/>
  <c r="F217" i="29"/>
  <c r="F281" i="29"/>
  <c r="F285" i="29"/>
  <c r="F460" i="29"/>
  <c r="F160" i="29"/>
  <c r="F220" i="29"/>
  <c r="F351" i="29"/>
  <c r="F163" i="29"/>
  <c r="F164" i="29"/>
  <c r="F95" i="29"/>
  <c r="F527" i="29"/>
  <c r="F275" i="30"/>
  <c r="F291" i="30" s="1"/>
  <c r="F68" i="15"/>
  <c r="F209" i="29"/>
  <c r="F284" i="29"/>
  <c r="F413" i="29"/>
  <c r="F108" i="15"/>
  <c r="F49" i="29"/>
  <c r="F211" i="29"/>
  <c r="F338" i="29"/>
  <c r="F395" i="29"/>
  <c r="F522" i="29"/>
  <c r="J601" i="30"/>
  <c r="F154" i="29"/>
  <c r="F339" i="29"/>
  <c r="F396" i="29"/>
  <c r="F459" i="29"/>
  <c r="F347" i="29"/>
  <c r="F449" i="29"/>
  <c r="F741" i="30"/>
  <c r="F495" i="30"/>
  <c r="F44" i="29"/>
  <c r="F60" i="29"/>
  <c r="F147" i="29"/>
  <c r="F206" i="29"/>
  <c r="F333" i="29"/>
  <c r="F390" i="29"/>
  <c r="F477" i="29"/>
  <c r="F517" i="29"/>
  <c r="F234" i="29"/>
  <c r="F463" i="29"/>
  <c r="F406" i="29"/>
  <c r="F461" i="29"/>
  <c r="F142" i="29"/>
  <c r="F494" i="30"/>
  <c r="F143" i="29"/>
  <c r="F171" i="29"/>
  <c r="F22" i="29"/>
  <c r="F144" i="29"/>
  <c r="F224" i="29"/>
  <c r="F464" i="29"/>
  <c r="F64" i="29"/>
  <c r="F167" i="29"/>
  <c r="F353" i="29"/>
  <c r="F27" i="29"/>
  <c r="F105" i="29"/>
  <c r="F159" i="29"/>
  <c r="F414" i="29"/>
  <c r="F52" i="15"/>
  <c r="F28" i="29"/>
  <c r="F227" i="29"/>
  <c r="F397" i="29"/>
  <c r="F470" i="29"/>
  <c r="F524" i="29"/>
  <c r="F53" i="15"/>
  <c r="F148" i="29"/>
  <c r="F228" i="29"/>
  <c r="F270" i="29"/>
  <c r="F295" i="29"/>
  <c r="F416" i="29"/>
  <c r="F471" i="29"/>
  <c r="F63" i="29"/>
  <c r="F139" i="29"/>
  <c r="F235" i="29"/>
  <c r="F82" i="15"/>
  <c r="F225" i="15"/>
  <c r="F448" i="29"/>
  <c r="F516" i="30"/>
  <c r="F26" i="29"/>
  <c r="F136" i="29"/>
  <c r="F506" i="29"/>
  <c r="F190" i="15"/>
  <c r="F326" i="29"/>
  <c r="F441" i="30"/>
  <c r="F539" i="30"/>
  <c r="F59" i="15"/>
  <c r="F219" i="15"/>
  <c r="F401" i="15"/>
  <c r="F140" i="29"/>
  <c r="F200" i="29"/>
  <c r="F264" i="29"/>
  <c r="F445" i="30"/>
  <c r="F56" i="29"/>
  <c r="F169" i="29"/>
  <c r="F233" i="29"/>
  <c r="F297" i="29"/>
  <c r="F478" i="29"/>
  <c r="F256" i="15"/>
  <c r="F109" i="15"/>
  <c r="F321" i="30"/>
  <c r="F61" i="29"/>
  <c r="F222" i="29"/>
  <c r="F384" i="29"/>
  <c r="F443" i="30"/>
  <c r="F730" i="30"/>
  <c r="F222" i="15"/>
  <c r="F403" i="15"/>
  <c r="F476" i="29"/>
  <c r="F539" i="29"/>
  <c r="F306" i="29"/>
  <c r="F548" i="29"/>
  <c r="F242" i="29"/>
  <c r="F422" i="29"/>
  <c r="F485" i="29"/>
  <c r="F544" i="29"/>
  <c r="F550" i="29"/>
  <c r="F243" i="29"/>
  <c r="F68" i="29"/>
  <c r="F112" i="29"/>
  <c r="F244" i="29"/>
  <c r="F69" i="29"/>
  <c r="F113" i="29"/>
  <c r="F70" i="29"/>
  <c r="F114" i="29"/>
  <c r="F307" i="29"/>
  <c r="F549" i="29"/>
  <c r="F71" i="29"/>
  <c r="F115" i="29"/>
  <c r="F174" i="29"/>
  <c r="F308" i="29"/>
  <c r="F175" i="29"/>
  <c r="F417" i="29"/>
  <c r="F481" i="29"/>
  <c r="F486" i="29"/>
  <c r="F450" i="29"/>
  <c r="F92" i="29"/>
  <c r="F202" i="29"/>
  <c r="F269" i="29"/>
  <c r="F293" i="29"/>
  <c r="F443" i="29"/>
  <c r="F467" i="29"/>
  <c r="F508" i="29"/>
  <c r="F265" i="29"/>
  <c r="F408" i="29"/>
  <c r="F475" i="29"/>
  <c r="F25" i="29"/>
  <c r="F168" i="29"/>
  <c r="F267" i="29"/>
  <c r="F201" i="29"/>
  <c r="F411" i="29"/>
  <c r="F93" i="29"/>
  <c r="F203" i="29"/>
  <c r="F444" i="29"/>
  <c r="F509" i="29"/>
  <c r="F107" i="29"/>
  <c r="F205" i="29"/>
  <c r="F229" i="29"/>
  <c r="F296" i="29"/>
  <c r="F446" i="29"/>
  <c r="F535" i="29"/>
  <c r="F137" i="29"/>
  <c r="F57" i="29"/>
  <c r="F380" i="29"/>
  <c r="F472" i="29"/>
  <c r="F110" i="29"/>
  <c r="F165" i="29"/>
  <c r="F232" i="29"/>
  <c r="F328" i="29"/>
  <c r="F367" i="15"/>
  <c r="F500" i="30"/>
  <c r="F743" i="30"/>
  <c r="F189" i="15"/>
  <c r="F462" i="30"/>
  <c r="F694" i="30"/>
  <c r="F513" i="30"/>
  <c r="F715" i="30"/>
  <c r="F729" i="30" s="1"/>
  <c r="F205" i="15"/>
  <c r="F749" i="30"/>
  <c r="F498" i="30"/>
  <c r="F230" i="15"/>
  <c r="F123" i="15"/>
  <c r="F241" i="15"/>
  <c r="F510" i="30"/>
  <c r="F529" i="30" s="1"/>
  <c r="F746" i="30"/>
  <c r="F463" i="30"/>
  <c r="F552" i="30"/>
  <c r="F94" i="15"/>
  <c r="F716" i="30"/>
  <c r="F106" i="15"/>
  <c r="F278" i="15"/>
  <c r="F675" i="30"/>
  <c r="F519" i="30"/>
  <c r="F465" i="30"/>
  <c r="F86" i="15"/>
  <c r="F198" i="15"/>
  <c r="F358" i="15"/>
  <c r="F315" i="30"/>
  <c r="F453" i="30"/>
  <c r="F687" i="30"/>
  <c r="F199" i="15"/>
  <c r="F257" i="15"/>
  <c r="F316" i="30"/>
  <c r="F455" i="30"/>
  <c r="F556" i="30"/>
  <c r="F63" i="15"/>
  <c r="F200" i="15"/>
  <c r="F260" i="15"/>
  <c r="F261" i="15" s="1"/>
  <c r="F287" i="20"/>
  <c r="F439" i="30"/>
  <c r="F456" i="30"/>
  <c r="F473" i="30"/>
  <c r="F537" i="30"/>
  <c r="F559" i="30"/>
  <c r="F696" i="30"/>
  <c r="F64" i="15"/>
  <c r="F95" i="15"/>
  <c r="F202" i="15"/>
  <c r="F239" i="15"/>
  <c r="F303" i="30"/>
  <c r="F440" i="30"/>
  <c r="F460" i="30"/>
  <c r="F478" i="30"/>
  <c r="F538" i="30"/>
  <c r="F67" i="15"/>
  <c r="F98" i="15"/>
  <c r="F204" i="15"/>
  <c r="F240" i="15"/>
  <c r="F377" i="15"/>
  <c r="F80" i="15"/>
  <c r="F214" i="15"/>
  <c r="F237" i="15"/>
  <c r="F236" i="15" s="1"/>
  <c r="F348" i="15"/>
  <c r="F388" i="15"/>
  <c r="F315" i="16"/>
  <c r="F324" i="16" s="1"/>
  <c r="F727" i="30"/>
  <c r="F89" i="15"/>
  <c r="F259" i="15"/>
  <c r="F258" i="15" s="1"/>
  <c r="F677" i="30"/>
  <c r="F311" i="20"/>
  <c r="F553" i="30"/>
  <c r="F679" i="30"/>
  <c r="F712" i="30"/>
  <c r="F203" i="15"/>
  <c r="F229" i="15"/>
  <c r="F265" i="15"/>
  <c r="F484" i="30"/>
  <c r="F713" i="30"/>
  <c r="F270" i="15"/>
  <c r="F269" i="15" s="1"/>
  <c r="F555" i="30"/>
  <c r="F755" i="30"/>
  <c r="F96" i="15"/>
  <c r="F194" i="15"/>
  <c r="F232" i="15"/>
  <c r="F271" i="15"/>
  <c r="F371" i="15"/>
  <c r="F744" i="30"/>
  <c r="F549" i="30"/>
  <c r="F477" i="30"/>
  <c r="F193" i="15"/>
  <c r="F284" i="20"/>
  <c r="F452" i="30"/>
  <c r="F518" i="30"/>
  <c r="F118" i="15"/>
  <c r="F352" i="15"/>
  <c r="F78" i="17"/>
  <c r="F102" i="15"/>
  <c r="F80" i="17"/>
  <c r="F253" i="15"/>
  <c r="F99" i="16"/>
  <c r="F267" i="15"/>
  <c r="F60" i="16"/>
  <c r="F76" i="15"/>
  <c r="F130" i="22"/>
  <c r="F122" i="15"/>
  <c r="F121" i="15"/>
  <c r="F689" i="30"/>
  <c r="F745" i="30" s="1"/>
  <c r="F211" i="15"/>
  <c r="F99" i="15"/>
  <c r="F277" i="15"/>
  <c r="F398" i="15"/>
  <c r="F446" i="30"/>
  <c r="F671" i="30"/>
  <c r="F103" i="15"/>
  <c r="F252" i="15"/>
  <c r="F76" i="16"/>
  <c r="F93" i="15"/>
  <c r="F92" i="15"/>
  <c r="F595" i="15"/>
  <c r="F383" i="15"/>
  <c r="F210" i="16"/>
  <c r="F220" i="17"/>
  <c r="F232" i="17" s="1"/>
  <c r="F315" i="20"/>
  <c r="F314" i="20"/>
  <c r="F720" i="30"/>
  <c r="F515" i="30"/>
  <c r="F38" i="16"/>
  <c r="F62" i="15"/>
  <c r="F509" i="30"/>
  <c r="F528" i="30" s="1"/>
  <c r="J156" i="15"/>
  <c r="F540" i="30"/>
  <c r="F740" i="30"/>
  <c r="F151" i="16"/>
  <c r="F186" i="15"/>
  <c r="F437" i="30"/>
  <c r="F434" i="30"/>
  <c r="F475" i="30"/>
  <c r="F268" i="30"/>
  <c r="F471" i="30"/>
  <c r="F184" i="15"/>
  <c r="F719" i="30"/>
  <c r="F514" i="30"/>
  <c r="F573" i="15"/>
  <c r="F357" i="15"/>
  <c r="F268" i="15"/>
  <c r="F387" i="15"/>
  <c r="K97" i="23"/>
  <c r="K98" i="23" s="1"/>
  <c r="K99" i="23" s="1"/>
  <c r="K100" i="23" s="1"/>
  <c r="K118" i="23"/>
  <c r="K119" i="23" s="1"/>
  <c r="K120" i="23" s="1"/>
  <c r="F90" i="16"/>
  <c r="F226" i="17"/>
  <c r="F156" i="22"/>
  <c r="F153" i="22"/>
  <c r="F525" i="16"/>
  <c r="F326" i="17"/>
  <c r="F101" i="22"/>
  <c r="F100" i="22"/>
  <c r="F584" i="15"/>
  <c r="F206" i="17"/>
  <c r="F205" i="17" s="1"/>
  <c r="F217" i="17" s="1"/>
  <c r="F247" i="17"/>
  <c r="F300" i="17"/>
  <c r="F314" i="17"/>
  <c r="F323" i="17" s="1"/>
  <c r="F171" i="20"/>
  <c r="F214" i="20"/>
  <c r="F245" i="20"/>
  <c r="F262" i="20"/>
  <c r="F309" i="20"/>
  <c r="F89" i="22"/>
  <c r="F111" i="22"/>
  <c r="F122" i="22"/>
  <c r="F145" i="22"/>
  <c r="F163" i="22"/>
  <c r="J42" i="22"/>
  <c r="J7" i="22"/>
  <c r="J9" i="22"/>
  <c r="J44" i="22"/>
  <c r="F208" i="16"/>
  <c r="F218" i="17"/>
  <c r="F199" i="16"/>
  <c r="F207" i="17"/>
  <c r="F520" i="16"/>
  <c r="F519" i="16" s="1"/>
  <c r="F528" i="16" s="1"/>
  <c r="F320" i="17"/>
  <c r="F319" i="17" s="1"/>
  <c r="F152" i="20"/>
  <c r="F151" i="20"/>
  <c r="F200" i="20"/>
  <c r="F199" i="20"/>
  <c r="F82" i="16"/>
  <c r="F208" i="17"/>
  <c r="F221" i="17"/>
  <c r="F235" i="17"/>
  <c r="F316" i="17"/>
  <c r="F315" i="17" s="1"/>
  <c r="F324" i="17" s="1"/>
  <c r="F333" i="17" s="1"/>
  <c r="F342" i="17" s="1"/>
  <c r="F337" i="17"/>
  <c r="F158" i="20"/>
  <c r="F173" i="20"/>
  <c r="F187" i="20"/>
  <c r="F202" i="20"/>
  <c r="F217" i="20"/>
  <c r="F247" i="20"/>
  <c r="F279" i="20"/>
  <c r="F294" i="20"/>
  <c r="F94" i="22"/>
  <c r="F126" i="22"/>
  <c r="F146" i="22"/>
  <c r="F168" i="20"/>
  <c r="F170" i="20"/>
  <c r="F207" i="16"/>
  <c r="F216" i="17"/>
  <c r="F314" i="16"/>
  <c r="F209" i="16"/>
  <c r="F160" i="16"/>
  <c r="F46" i="16"/>
  <c r="F92" i="22"/>
  <c r="F91" i="22"/>
  <c r="F467" i="15"/>
  <c r="F222" i="17"/>
  <c r="F250" i="17"/>
  <c r="F317" i="17"/>
  <c r="F339" i="17"/>
  <c r="F204" i="20"/>
  <c r="F219" i="20"/>
  <c r="F234" i="20"/>
  <c r="F250" i="20"/>
  <c r="F267" i="20"/>
  <c r="F282" i="20"/>
  <c r="F96" i="22"/>
  <c r="F151" i="22"/>
  <c r="F184" i="20"/>
  <c r="F185" i="20"/>
  <c r="F407" i="16"/>
  <c r="F308" i="17"/>
  <c r="F109" i="22"/>
  <c r="F108" i="22"/>
  <c r="F265" i="20"/>
  <c r="F264" i="20"/>
  <c r="F468" i="15"/>
  <c r="F161" i="16"/>
  <c r="F211" i="17"/>
  <c r="F224" i="17"/>
  <c r="F239" i="17"/>
  <c r="F251" i="17"/>
  <c r="F305" i="17"/>
  <c r="F205" i="20"/>
  <c r="F236" i="20"/>
  <c r="F252" i="20"/>
  <c r="F269" i="20"/>
  <c r="F299" i="20"/>
  <c r="J45" i="22"/>
  <c r="F97" i="22"/>
  <c r="F114" i="22"/>
  <c r="F181" i="20"/>
  <c r="F179" i="20"/>
  <c r="F354" i="15"/>
  <c r="F481" i="15"/>
  <c r="F307" i="16"/>
  <c r="F209" i="17"/>
  <c r="F513" i="16"/>
  <c r="F512" i="16" s="1"/>
  <c r="F313" i="17"/>
  <c r="F312" i="17" s="1"/>
  <c r="F150" i="22"/>
  <c r="F149" i="22"/>
  <c r="F184" i="17"/>
  <c r="F288" i="16"/>
  <c r="F419" i="16"/>
  <c r="F518" i="16"/>
  <c r="F437" i="16"/>
  <c r="F335" i="17"/>
  <c r="F125" i="22"/>
  <c r="F117" i="22"/>
  <c r="F124" i="22"/>
  <c r="F118" i="22"/>
  <c r="F127" i="22"/>
  <c r="F121" i="22"/>
  <c r="F106" i="16"/>
  <c r="F133" i="22"/>
  <c r="F132" i="22"/>
  <c r="F216" i="20"/>
  <c r="F131" i="22"/>
  <c r="F123" i="22"/>
  <c r="F129" i="22"/>
  <c r="F218" i="20"/>
  <c r="F215" i="20"/>
  <c r="F136" i="22"/>
  <c r="F135" i="22" s="1"/>
  <c r="F99" i="17"/>
  <c r="F99" i="22"/>
  <c r="F98" i="22"/>
  <c r="F297" i="20"/>
  <c r="F296" i="20"/>
  <c r="F188" i="16"/>
  <c r="F212" i="17"/>
  <c r="F252" i="17"/>
  <c r="F294" i="17"/>
  <c r="F306" i="17"/>
  <c r="F322" i="17"/>
  <c r="F321" i="17" s="1"/>
  <c r="F344" i="17"/>
  <c r="F149" i="20"/>
  <c r="F164" i="20"/>
  <c r="F222" i="20"/>
  <c r="F102" i="22"/>
  <c r="F134" i="22"/>
  <c r="F154" i="22"/>
  <c r="F208" i="20"/>
  <c r="F206" i="20"/>
  <c r="G367" i="29"/>
  <c r="H251" i="29"/>
  <c r="F325" i="16"/>
  <c r="F234" i="17"/>
  <c r="F264" i="15"/>
  <c r="F236" i="17"/>
  <c r="F157" i="22"/>
  <c r="F155" i="22"/>
  <c r="F114" i="15"/>
  <c r="F238" i="17"/>
  <c r="F148" i="22"/>
  <c r="F147" i="22"/>
  <c r="F231" i="16"/>
  <c r="F245" i="17"/>
  <c r="F209" i="20"/>
  <c r="F212" i="20"/>
  <c r="F248" i="17"/>
  <c r="F197" i="20"/>
  <c r="F194" i="20"/>
  <c r="F224" i="20"/>
  <c r="F225" i="20"/>
  <c r="F107" i="22"/>
  <c r="F104" i="22"/>
  <c r="F504" i="15"/>
  <c r="F40" i="16"/>
  <c r="F414" i="16"/>
  <c r="F228" i="17"/>
  <c r="F242" i="17"/>
  <c r="F295" i="17"/>
  <c r="F307" i="17"/>
  <c r="F325" i="17"/>
  <c r="F165" i="20"/>
  <c r="F180" i="20"/>
  <c r="F195" i="20"/>
  <c r="F210" i="20"/>
  <c r="F255" i="20"/>
  <c r="F302" i="20"/>
  <c r="J6" i="22"/>
  <c r="F103" i="22"/>
  <c r="F137" i="22"/>
  <c r="F159" i="22"/>
  <c r="F504" i="16"/>
  <c r="F304" i="17"/>
  <c r="F212" i="16"/>
  <c r="F223" i="17"/>
  <c r="F502" i="16"/>
  <c r="F302" i="17"/>
  <c r="F559" i="15"/>
  <c r="F296" i="17"/>
  <c r="F515" i="15"/>
  <c r="F51" i="16"/>
  <c r="F215" i="17"/>
  <c r="F230" i="17"/>
  <c r="F243" i="17"/>
  <c r="F297" i="17"/>
  <c r="F167" i="20"/>
  <c r="F196" i="20"/>
  <c r="F211" i="20"/>
  <c r="F242" i="20"/>
  <c r="F259" i="20"/>
  <c r="F318" i="20"/>
  <c r="J52" i="22"/>
  <c r="F105" i="22"/>
  <c r="F119" i="22"/>
  <c r="F138" i="22"/>
  <c r="F160" i="22"/>
  <c r="H250" i="29"/>
  <c r="F241" i="20"/>
  <c r="F240" i="20"/>
  <c r="G368" i="29"/>
  <c r="H252" i="29"/>
  <c r="F73" i="17"/>
  <c r="F213" i="17"/>
  <c r="F582" i="15"/>
  <c r="F495" i="15"/>
  <c r="F165" i="22"/>
  <c r="F164" i="22"/>
  <c r="F161" i="22"/>
  <c r="F333" i="16"/>
  <c r="F244" i="17"/>
  <c r="F538" i="16"/>
  <c r="F338" i="17"/>
  <c r="F463" i="15"/>
  <c r="F293" i="17"/>
  <c r="F396" i="16"/>
  <c r="F299" i="17"/>
  <c r="F526" i="16"/>
  <c r="F535" i="16" s="1"/>
  <c r="F544" i="16" s="1"/>
  <c r="F327" i="17"/>
  <c r="F336" i="17" s="1"/>
  <c r="F345" i="17" s="1"/>
  <c r="F257" i="20"/>
  <c r="F256" i="20"/>
  <c r="F273" i="20"/>
  <c r="F272" i="20"/>
  <c r="F571" i="15"/>
  <c r="F58" i="16"/>
  <c r="F219" i="17"/>
  <c r="F246" i="17"/>
  <c r="F298" i="17"/>
  <c r="F310" i="17"/>
  <c r="F331" i="17"/>
  <c r="F330" i="17" s="1"/>
  <c r="F155" i="20"/>
  <c r="F169" i="20"/>
  <c r="F198" i="20"/>
  <c r="F213" i="20"/>
  <c r="F228" i="20"/>
  <c r="F88" i="22"/>
  <c r="F110" i="22"/>
  <c r="F120" i="22"/>
  <c r="F143" i="22"/>
  <c r="F162" i="22"/>
  <c r="F104" i="16"/>
  <c r="F234" i="16"/>
  <c r="F493" i="16"/>
  <c r="F476" i="30"/>
  <c r="F662" i="30"/>
  <c r="F678" i="30"/>
  <c r="F56" i="15"/>
  <c r="F110" i="15"/>
  <c r="F119" i="15"/>
  <c r="F185" i="15"/>
  <c r="F227" i="15"/>
  <c r="F353" i="15"/>
  <c r="F369" i="15"/>
  <c r="F400" i="15"/>
  <c r="F476" i="15"/>
  <c r="F497" i="15"/>
  <c r="F518" i="15"/>
  <c r="F597" i="15"/>
  <c r="F42" i="16"/>
  <c r="F61" i="16"/>
  <c r="F163" i="16"/>
  <c r="F194" i="16"/>
  <c r="F211" i="16"/>
  <c r="J248" i="16"/>
  <c r="F291" i="16"/>
  <c r="F317" i="16"/>
  <c r="F391" i="16"/>
  <c r="F421" i="16"/>
  <c r="F420" i="16" s="1"/>
  <c r="F496" i="16"/>
  <c r="F725" i="30"/>
  <c r="F111" i="15"/>
  <c r="F86" i="16"/>
  <c r="F150" i="16"/>
  <c r="F196" i="16"/>
  <c r="F297" i="16"/>
  <c r="F321" i="16"/>
  <c r="F395" i="16"/>
  <c r="F423" i="16"/>
  <c r="F424" i="16" s="1"/>
  <c r="F497" i="16"/>
  <c r="F534" i="16"/>
  <c r="F697" i="30"/>
  <c r="F228" i="15"/>
  <c r="F478" i="15"/>
  <c r="F499" i="15"/>
  <c r="F520" i="15"/>
  <c r="F557" i="15"/>
  <c r="F580" i="15"/>
  <c r="F267" i="30"/>
  <c r="F435" i="30"/>
  <c r="F454" i="30"/>
  <c r="F497" i="30"/>
  <c r="F517" i="30"/>
  <c r="F688" i="30"/>
  <c r="F698" i="30"/>
  <c r="F726" i="30"/>
  <c r="F112" i="15"/>
  <c r="F188" i="15"/>
  <c r="F196" i="15"/>
  <c r="F263" i="15"/>
  <c r="F272" i="15"/>
  <c r="F372" i="15"/>
  <c r="F500" i="15"/>
  <c r="F523" i="15"/>
  <c r="F602" i="15"/>
  <c r="J15" i="16"/>
  <c r="F49" i="16"/>
  <c r="F88" i="16"/>
  <c r="F152" i="16"/>
  <c r="F197" i="16"/>
  <c r="F218" i="16"/>
  <c r="F300" i="16"/>
  <c r="F328" i="16"/>
  <c r="F397" i="16"/>
  <c r="F427" i="16"/>
  <c r="F499" i="16"/>
  <c r="F537" i="16"/>
  <c r="F42" i="17"/>
  <c r="F496" i="30"/>
  <c r="F58" i="15"/>
  <c r="F81" i="15"/>
  <c r="F206" i="15"/>
  <c r="F525" i="15"/>
  <c r="F562" i="15"/>
  <c r="F604" i="15"/>
  <c r="F174" i="16"/>
  <c r="F200" i="16"/>
  <c r="F225" i="16"/>
  <c r="F329" i="16"/>
  <c r="F403" i="16"/>
  <c r="F428" i="16"/>
  <c r="F438" i="16" s="1"/>
  <c r="F448" i="16" s="1"/>
  <c r="F506" i="16"/>
  <c r="F44" i="17"/>
  <c r="F91" i="15"/>
  <c r="F120" i="15"/>
  <c r="F262" i="15"/>
  <c r="F464" i="30"/>
  <c r="F490" i="30"/>
  <c r="F499" i="30"/>
  <c r="F532" i="30"/>
  <c r="F690" i="30"/>
  <c r="F72" i="15"/>
  <c r="F208" i="15"/>
  <c r="F221" i="15"/>
  <c r="F245" i="15"/>
  <c r="F274" i="15"/>
  <c r="F376" i="15"/>
  <c r="F392" i="15"/>
  <c r="F365" i="15"/>
  <c r="F395" i="15" s="1"/>
  <c r="F405" i="15" s="1"/>
  <c r="F465" i="15"/>
  <c r="F485" i="15"/>
  <c r="F528" i="15"/>
  <c r="F563" i="15"/>
  <c r="F585" i="15"/>
  <c r="F605" i="15"/>
  <c r="F75" i="16"/>
  <c r="F95" i="16"/>
  <c r="F202" i="16"/>
  <c r="F226" i="16"/>
  <c r="F309" i="16"/>
  <c r="F331" i="16"/>
  <c r="F404" i="16"/>
  <c r="F507" i="16"/>
  <c r="F273" i="15"/>
  <c r="F391" i="15"/>
  <c r="F438" i="30"/>
  <c r="F491" i="30"/>
  <c r="F533" i="30"/>
  <c r="F558" i="30"/>
  <c r="F659" i="30"/>
  <c r="F73" i="15"/>
  <c r="F116" i="15"/>
  <c r="F209" i="15"/>
  <c r="F266" i="15"/>
  <c r="F275" i="15"/>
  <c r="F366" i="15"/>
  <c r="F356" i="15" s="1"/>
  <c r="F393" i="15"/>
  <c r="F490" i="15"/>
  <c r="F491" i="15" s="1"/>
  <c r="F521" i="15" s="1"/>
  <c r="F509" i="15"/>
  <c r="F588" i="15"/>
  <c r="F572" i="15" s="1"/>
  <c r="F607" i="15"/>
  <c r="F55" i="16"/>
  <c r="F79" i="16"/>
  <c r="F157" i="16"/>
  <c r="F282" i="16"/>
  <c r="F312" i="16"/>
  <c r="F441" i="16"/>
  <c r="F510" i="16"/>
  <c r="F71" i="15"/>
  <c r="F243" i="15"/>
  <c r="F346" i="15"/>
  <c r="F492" i="30"/>
  <c r="F65" i="15"/>
  <c r="F74" i="15"/>
  <c r="F117" i="15"/>
  <c r="F201" i="15"/>
  <c r="F210" i="15"/>
  <c r="F224" i="15"/>
  <c r="F248" i="15"/>
  <c r="F247" i="15" s="1"/>
  <c r="F276" i="15"/>
  <c r="F351" i="15"/>
  <c r="F381" i="15"/>
  <c r="F494" i="15"/>
  <c r="F510" i="15"/>
  <c r="F570" i="15"/>
  <c r="F608" i="15"/>
  <c r="F37" i="16"/>
  <c r="F81" i="16"/>
  <c r="F101" i="16"/>
  <c r="F206" i="16"/>
  <c r="F230" i="16"/>
  <c r="F313" i="16"/>
  <c r="F413" i="16"/>
  <c r="F412" i="16" s="1"/>
  <c r="F447" i="16"/>
  <c r="F515" i="16"/>
  <c r="F94" i="17"/>
  <c r="F154" i="17"/>
  <c r="F384" i="15"/>
  <c r="F521" i="16"/>
  <c r="F512" i="30"/>
  <c r="F531" i="30"/>
  <c r="F550" i="30"/>
  <c r="F327" i="16"/>
  <c r="F224" i="16"/>
  <c r="F61" i="17"/>
  <c r="F191" i="16"/>
  <c r="F198" i="17"/>
  <c r="F197" i="17"/>
  <c r="F298" i="16"/>
  <c r="F69" i="16"/>
  <c r="F575" i="15"/>
  <c r="F486" i="15"/>
  <c r="F179" i="17"/>
  <c r="F59" i="16"/>
  <c r="F59" i="17"/>
  <c r="F477" i="15"/>
  <c r="F350" i="15"/>
  <c r="F215" i="16"/>
  <c r="F82" i="17"/>
  <c r="F69" i="17"/>
  <c r="F68" i="17"/>
  <c r="F491" i="16"/>
  <c r="F389" i="16"/>
  <c r="F164" i="16"/>
  <c r="F50" i="16"/>
  <c r="F526" i="15"/>
  <c r="J24" i="16"/>
  <c r="F39" i="16"/>
  <c r="F97" i="16"/>
  <c r="F284" i="16"/>
  <c r="F299" i="16"/>
  <c r="F539" i="16"/>
  <c r="F72" i="17"/>
  <c r="F80" i="16"/>
  <c r="F286" i="16"/>
  <c r="F182" i="17"/>
  <c r="F318" i="16"/>
  <c r="F81" i="17"/>
  <c r="F89" i="16"/>
  <c r="F599" i="15"/>
  <c r="F516" i="15"/>
  <c r="F66" i="17"/>
  <c r="F202" i="17"/>
  <c r="F301" i="16"/>
  <c r="F195" i="16"/>
  <c r="F74" i="16"/>
  <c r="F83" i="17"/>
  <c r="F320" i="16"/>
  <c r="F187" i="17"/>
  <c r="F182" i="16"/>
  <c r="F227" i="16"/>
  <c r="F330" i="16"/>
  <c r="F190" i="17"/>
  <c r="F292" i="16"/>
  <c r="F511" i="16"/>
  <c r="F411" i="16"/>
  <c r="F219" i="16"/>
  <c r="F220" i="16" s="1"/>
  <c r="F323" i="16"/>
  <c r="F164" i="17"/>
  <c r="F151" i="17"/>
  <c r="F40" i="17"/>
  <c r="F150" i="17"/>
  <c r="F41" i="17"/>
  <c r="F39" i="17"/>
  <c r="F530" i="15"/>
  <c r="F560" i="15"/>
  <c r="F185" i="16"/>
  <c r="F214" i="16"/>
  <c r="F303" i="16"/>
  <c r="F332" i="16"/>
  <c r="F409" i="16"/>
  <c r="F188" i="17"/>
  <c r="F183" i="16"/>
  <c r="F85" i="15"/>
  <c r="F105" i="15"/>
  <c r="F113" i="15"/>
  <c r="F212" i="15"/>
  <c r="F233" i="15"/>
  <c r="F242" i="15"/>
  <c r="F218" i="15"/>
  <c r="F185" i="17"/>
  <c r="F289" i="16"/>
  <c r="F62" i="16"/>
  <c r="F88" i="15"/>
  <c r="F200" i="17"/>
  <c r="F199" i="17"/>
  <c r="F64" i="17"/>
  <c r="F63" i="17"/>
  <c r="F192" i="16"/>
  <c r="F71" i="16"/>
  <c r="F223" i="15"/>
  <c r="F191" i="17"/>
  <c r="F186" i="16"/>
  <c r="F70" i="15"/>
  <c r="F174" i="17"/>
  <c r="F171" i="16"/>
  <c r="F213" i="15"/>
  <c r="F180" i="17"/>
  <c r="F177" i="16"/>
  <c r="F362" i="15"/>
  <c r="F578" i="15"/>
  <c r="F378" i="15"/>
  <c r="F590" i="15"/>
  <c r="F361" i="15"/>
  <c r="F488" i="15"/>
  <c r="F533" i="16"/>
  <c r="F436" i="16"/>
  <c r="F435" i="16" s="1"/>
  <c r="F445" i="16" s="1"/>
  <c r="F379" i="15"/>
  <c r="F506" i="15"/>
  <c r="F101" i="15"/>
  <c r="F77" i="17"/>
  <c r="F84" i="16"/>
  <c r="F76" i="17"/>
  <c r="F216" i="15"/>
  <c r="F183" i="17"/>
  <c r="F287" i="16"/>
  <c r="F347" i="15"/>
  <c r="F474" i="15"/>
  <c r="F483" i="15" s="1"/>
  <c r="F244" i="15"/>
  <c r="F310" i="16"/>
  <c r="F74" i="17"/>
  <c r="F508" i="16"/>
  <c r="F408" i="16"/>
  <c r="F529" i="16"/>
  <c r="F431" i="16"/>
  <c r="F430" i="16" s="1"/>
  <c r="F60" i="15"/>
  <c r="F44" i="16"/>
  <c r="F163" i="17"/>
  <c r="F48" i="17"/>
  <c r="F162" i="17"/>
  <c r="F47" i="17"/>
  <c r="F57" i="15"/>
  <c r="F153" i="16"/>
  <c r="F41" i="16"/>
  <c r="F165" i="17"/>
  <c r="F50" i="17"/>
  <c r="F166" i="17"/>
  <c r="F43" i="17"/>
  <c r="F542" i="16"/>
  <c r="F446" i="16"/>
  <c r="F527" i="16"/>
  <c r="F536" i="16" s="1"/>
  <c r="F429" i="16"/>
  <c r="F439" i="16" s="1"/>
  <c r="F85" i="17"/>
  <c r="F84" i="17"/>
  <c r="F470" i="15"/>
  <c r="F484" i="15"/>
  <c r="F576" i="15"/>
  <c r="F45" i="16"/>
  <c r="F103" i="16"/>
  <c r="F216" i="16"/>
  <c r="F290" i="16"/>
  <c r="F304" i="16"/>
  <c r="F319" i="16"/>
  <c r="F433" i="16"/>
  <c r="F432" i="16" s="1"/>
  <c r="F54" i="17"/>
  <c r="F173" i="17"/>
  <c r="F107" i="15"/>
  <c r="F197" i="15"/>
  <c r="F215" i="15"/>
  <c r="F226" i="15"/>
  <c r="F235" i="15"/>
  <c r="F254" i="15"/>
  <c r="J112" i="17"/>
  <c r="J113" i="17" s="1"/>
  <c r="J114" i="17" s="1"/>
  <c r="J15" i="17"/>
  <c r="F88" i="17"/>
  <c r="F326" i="16"/>
  <c r="F96" i="16"/>
  <c r="F223" i="16"/>
  <c r="F189" i="17"/>
  <c r="F65" i="16"/>
  <c r="F302" i="16"/>
  <c r="F203" i="17"/>
  <c r="F177" i="17"/>
  <c r="F57" i="17"/>
  <c r="F176" i="17"/>
  <c r="F175" i="17"/>
  <c r="F56" i="17"/>
  <c r="F55" i="17"/>
  <c r="F173" i="16"/>
  <c r="F56" i="16"/>
  <c r="F434" i="16"/>
  <c r="F444" i="16" s="1"/>
  <c r="F532" i="16"/>
  <c r="F541" i="16" s="1"/>
  <c r="F68" i="16"/>
  <c r="F60" i="17"/>
  <c r="F90" i="17"/>
  <c r="F98" i="16"/>
  <c r="F529" i="15"/>
  <c r="F610" i="15"/>
  <c r="F402" i="15"/>
  <c r="F400" i="16"/>
  <c r="F501" i="16"/>
  <c r="F93" i="17"/>
  <c r="F232" i="16"/>
  <c r="F100" i="16"/>
  <c r="F92" i="17"/>
  <c r="F96" i="17"/>
  <c r="F95" i="17"/>
  <c r="F233" i="16"/>
  <c r="F102" i="16"/>
  <c r="F152" i="17"/>
  <c r="F49" i="17"/>
  <c r="F495" i="16"/>
  <c r="F393" i="16"/>
  <c r="F466" i="15"/>
  <c r="F592" i="15"/>
  <c r="F600" i="15" s="1"/>
  <c r="F380" i="15"/>
  <c r="F390" i="15" s="1"/>
  <c r="F473" i="15"/>
  <c r="F487" i="15"/>
  <c r="F565" i="15"/>
  <c r="F579" i="15"/>
  <c r="F594" i="15"/>
  <c r="F48" i="16"/>
  <c r="F63" i="16"/>
  <c r="F77" i="16"/>
  <c r="F91" i="16"/>
  <c r="F176" i="16"/>
  <c r="F190" i="16"/>
  <c r="F205" i="16"/>
  <c r="F221" i="16"/>
  <c r="F235" i="16"/>
  <c r="F293" i="16"/>
  <c r="F308" i="16"/>
  <c r="F399" i="16"/>
  <c r="F62" i="17"/>
  <c r="F201" i="17"/>
  <c r="F65" i="17"/>
  <c r="F540" i="16"/>
  <c r="F443" i="16"/>
  <c r="F79" i="17"/>
  <c r="F87" i="16"/>
  <c r="F503" i="16"/>
  <c r="F402" i="16"/>
  <c r="F37" i="17"/>
  <c r="F36" i="17"/>
  <c r="F148" i="17"/>
  <c r="F38" i="17"/>
  <c r="F98" i="17"/>
  <c r="F97" i="17"/>
  <c r="F238" i="16"/>
  <c r="F107" i="16"/>
  <c r="F236" i="16"/>
  <c r="F105" i="16"/>
  <c r="F374" i="15"/>
  <c r="F489" i="15"/>
  <c r="F505" i="15"/>
  <c r="F64" i="16"/>
  <c r="F94" i="16"/>
  <c r="F178" i="16"/>
  <c r="F193" i="16"/>
  <c r="F222" i="16"/>
  <c r="F237" i="16"/>
  <c r="F295" i="16"/>
  <c r="F401" i="16"/>
  <c r="F417" i="16"/>
  <c r="F67" i="17"/>
  <c r="F186" i="17"/>
  <c r="F171" i="17"/>
  <c r="F53" i="17"/>
  <c r="F52" i="16"/>
  <c r="F52" i="17"/>
  <c r="F513" i="15"/>
  <c r="F524" i="15"/>
  <c r="F596" i="15"/>
  <c r="F47" i="16"/>
  <c r="F83" i="16"/>
  <c r="F93" i="16"/>
  <c r="F204" i="16"/>
  <c r="F213" i="16"/>
  <c r="F283" i="16"/>
  <c r="F311" i="16"/>
  <c r="F426" i="16"/>
  <c r="F425" i="16" s="1"/>
  <c r="F494" i="16"/>
  <c r="F294" i="16"/>
  <c r="F192" i="17"/>
  <c r="F161" i="17"/>
  <c r="F160" i="17"/>
  <c r="F469" i="15"/>
  <c r="F496" i="15"/>
  <c r="F556" i="15"/>
  <c r="F78" i="16"/>
  <c r="F180" i="16"/>
  <c r="F189" i="16"/>
  <c r="F296" i="16"/>
  <c r="F305" i="16"/>
  <c r="F70" i="17"/>
  <c r="F175" i="16"/>
  <c r="F58" i="17"/>
  <c r="F517" i="16"/>
  <c r="F418" i="16"/>
  <c r="F545" i="16"/>
  <c r="F449" i="16"/>
  <c r="F508" i="15"/>
  <c r="F558" i="15"/>
  <c r="F43" i="16"/>
  <c r="F53" i="16"/>
  <c r="F201" i="16"/>
  <c r="F316" i="16"/>
  <c r="F51" i="17"/>
  <c r="F308" i="30"/>
  <c r="F207" i="15"/>
  <c r="F695" i="30"/>
  <c r="F100" i="15"/>
  <c r="F61" i="15"/>
  <c r="F77" i="15"/>
  <c r="F734" i="30"/>
  <c r="F742" i="30"/>
  <c r="F78" i="15"/>
  <c r="F711" i="30"/>
  <c r="F83" i="15"/>
  <c r="F735" i="30"/>
  <c r="F87" i="15"/>
  <c r="F187" i="15"/>
  <c r="F231" i="15"/>
  <c r="F296" i="30"/>
  <c r="F292" i="30"/>
  <c r="J248" i="30"/>
  <c r="J247" i="30"/>
  <c r="J246" i="30"/>
  <c r="J245" i="30"/>
  <c r="J244" i="30"/>
  <c r="J243" i="30"/>
  <c r="J242" i="30"/>
  <c r="J223" i="30"/>
  <c r="J222" i="30"/>
  <c r="J221" i="30"/>
  <c r="J220" i="30"/>
  <c r="J219" i="30"/>
  <c r="J218" i="30"/>
  <c r="J217" i="30"/>
  <c r="J216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J148" i="30"/>
  <c r="J147" i="30"/>
  <c r="J146" i="30"/>
  <c r="J145" i="30"/>
  <c r="J144" i="30"/>
  <c r="J143" i="30"/>
  <c r="J142" i="30"/>
  <c r="J141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J43" i="30"/>
  <c r="J42" i="30"/>
  <c r="J41" i="30"/>
  <c r="J40" i="30"/>
  <c r="J39" i="30"/>
  <c r="J38" i="30"/>
  <c r="J37" i="30"/>
  <c r="J36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J951" i="13"/>
  <c r="J952" i="13" s="1"/>
  <c r="J948" i="13"/>
  <c r="J949" i="13" s="1"/>
  <c r="J946" i="13"/>
  <c r="J945" i="13"/>
  <c r="J944" i="13"/>
  <c r="J943" i="13"/>
  <c r="J942" i="13"/>
  <c r="J941" i="13"/>
  <c r="J940" i="13"/>
  <c r="J939" i="13"/>
  <c r="J938" i="13"/>
  <c r="J936" i="13"/>
  <c r="J937" i="13" s="1"/>
  <c r="J935" i="13"/>
  <c r="J934" i="13"/>
  <c r="J933" i="13"/>
  <c r="J932" i="13"/>
  <c r="J931" i="13"/>
  <c r="J930" i="13" s="1"/>
  <c r="J929" i="13"/>
  <c r="J926" i="13"/>
  <c r="J927" i="13" s="1"/>
  <c r="J928" i="13" s="1"/>
  <c r="J925" i="13"/>
  <c r="J924" i="13"/>
  <c r="J923" i="13"/>
  <c r="J921" i="13"/>
  <c r="J922" i="13" s="1"/>
  <c r="J920" i="13"/>
  <c r="J918" i="13"/>
  <c r="J919" i="13" s="1"/>
  <c r="J917" i="13"/>
  <c r="F887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86" i="13"/>
  <c r="F885" i="13"/>
  <c r="F884" i="13"/>
  <c r="F883" i="13"/>
  <c r="F882" i="13"/>
  <c r="F881" i="13"/>
  <c r="F880" i="13"/>
  <c r="F879" i="13"/>
  <c r="F878" i="13"/>
  <c r="F876" i="13"/>
  <c r="F875" i="13"/>
  <c r="F874" i="13"/>
  <c r="F868" i="13"/>
  <c r="F867" i="13"/>
  <c r="F866" i="13"/>
  <c r="F865" i="13"/>
  <c r="F864" i="13"/>
  <c r="F863" i="13"/>
  <c r="F862" i="13"/>
  <c r="F861" i="13"/>
  <c r="F860" i="13"/>
  <c r="F859" i="13"/>
  <c r="F857" i="13"/>
  <c r="F852" i="13"/>
  <c r="F871" i="13" s="1"/>
  <c r="F851" i="13"/>
  <c r="F870" i="13" s="1"/>
  <c r="F889" i="13" s="1"/>
  <c r="F850" i="13"/>
  <c r="F869" i="13" s="1"/>
  <c r="F888" i="13" s="1"/>
  <c r="F849" i="13"/>
  <c r="F848" i="13"/>
  <c r="F847" i="13"/>
  <c r="F846" i="13"/>
  <c r="F845" i="13"/>
  <c r="F844" i="13"/>
  <c r="F843" i="13"/>
  <c r="F842" i="13"/>
  <c r="F841" i="13"/>
  <c r="F840" i="13"/>
  <c r="F838" i="13"/>
  <c r="F837" i="13"/>
  <c r="F836" i="13"/>
  <c r="F855" i="13" s="1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19" i="13"/>
  <c r="F818" i="13"/>
  <c r="F817" i="13"/>
  <c r="F816" i="13"/>
  <c r="F835" i="13" s="1"/>
  <c r="F814" i="13"/>
  <c r="F815" i="13" s="1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77" i="13" s="1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J750" i="13"/>
  <c r="J747" i="13" s="1"/>
  <c r="J748" i="13" s="1"/>
  <c r="J744" i="13"/>
  <c r="J743" i="13"/>
  <c r="J742" i="13"/>
  <c r="J741" i="13"/>
  <c r="J740" i="13"/>
  <c r="J739" i="13"/>
  <c r="J738" i="13"/>
  <c r="J737" i="13"/>
  <c r="J736" i="13"/>
  <c r="J735" i="13"/>
  <c r="J732" i="13"/>
  <c r="J731" i="13"/>
  <c r="J730" i="13"/>
  <c r="J729" i="13"/>
  <c r="J723" i="13"/>
  <c r="J724" i="13" s="1"/>
  <c r="J725" i="13" s="1"/>
  <c r="J726" i="13" s="1"/>
  <c r="J727" i="13" s="1"/>
  <c r="J728" i="13" s="1"/>
  <c r="J720" i="13"/>
  <c r="J718" i="13"/>
  <c r="J717" i="13"/>
  <c r="J714" i="13"/>
  <c r="J715" i="13" s="1"/>
  <c r="J716" i="13" s="1"/>
  <c r="J708" i="13"/>
  <c r="J707" i="13"/>
  <c r="J706" i="13"/>
  <c r="J705" i="13"/>
  <c r="J704" i="13"/>
  <c r="J703" i="13"/>
  <c r="J702" i="13"/>
  <c r="J701" i="13"/>
  <c r="J692" i="13"/>
  <c r="J693" i="13" s="1"/>
  <c r="J694" i="13" s="1"/>
  <c r="J689" i="13"/>
  <c r="J690" i="13" s="1"/>
  <c r="J691" i="13" s="1"/>
  <c r="J686" i="13"/>
  <c r="J687" i="13" s="1"/>
  <c r="J688" i="13" s="1"/>
  <c r="J683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 s="1"/>
  <c r="J665" i="13"/>
  <c r="J664" i="13"/>
  <c r="J663" i="13" s="1"/>
  <c r="J662" i="13"/>
  <c r="J661" i="13"/>
  <c r="J660" i="13"/>
  <c r="J659" i="13"/>
  <c r="J658" i="13"/>
  <c r="J657" i="13"/>
  <c r="J656" i="13"/>
  <c r="J655" i="13"/>
  <c r="J654" i="13" s="1"/>
  <c r="J653" i="13"/>
  <c r="J652" i="13"/>
  <c r="J651" i="13" s="1"/>
  <c r="J650" i="13"/>
  <c r="J649" i="13"/>
  <c r="J648" i="13"/>
  <c r="J647" i="13"/>
  <c r="J645" i="13"/>
  <c r="J644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4" i="13"/>
  <c r="F613" i="13"/>
  <c r="F612" i="13"/>
  <c r="F611" i="13"/>
  <c r="F610" i="13"/>
  <c r="F609" i="13"/>
  <c r="F608" i="13"/>
  <c r="F607" i="13"/>
  <c r="F606" i="13"/>
  <c r="F605" i="13"/>
  <c r="F603" i="13"/>
  <c r="F602" i="13"/>
  <c r="F601" i="13"/>
  <c r="F595" i="13"/>
  <c r="F594" i="13"/>
  <c r="F593" i="13"/>
  <c r="F592" i="13"/>
  <c r="F591" i="13"/>
  <c r="F590" i="13"/>
  <c r="F589" i="13"/>
  <c r="F588" i="13"/>
  <c r="F587" i="13"/>
  <c r="F586" i="13"/>
  <c r="F584" i="13"/>
  <c r="F579" i="13"/>
  <c r="F598" i="13" s="1"/>
  <c r="F617" i="13" s="1"/>
  <c r="F578" i="13"/>
  <c r="F597" i="13" s="1"/>
  <c r="F616" i="13" s="1"/>
  <c r="F577" i="13"/>
  <c r="F596" i="13" s="1"/>
  <c r="F615" i="13" s="1"/>
  <c r="F576" i="13"/>
  <c r="F575" i="13"/>
  <c r="F574" i="13"/>
  <c r="F573" i="13"/>
  <c r="F572" i="13"/>
  <c r="F571" i="13"/>
  <c r="F570" i="13"/>
  <c r="F569" i="13"/>
  <c r="F568" i="13"/>
  <c r="F567" i="13"/>
  <c r="F565" i="13"/>
  <c r="F564" i="13"/>
  <c r="F563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6" i="13"/>
  <c r="F545" i="13"/>
  <c r="F583" i="13" s="1"/>
  <c r="F544" i="13"/>
  <c r="F582" i="13" s="1"/>
  <c r="F543" i="13"/>
  <c r="F562" i="13" s="1"/>
  <c r="F581" i="13" s="1"/>
  <c r="F600" i="13" s="1"/>
  <c r="F619" i="13" s="1"/>
  <c r="F541" i="13"/>
  <c r="F542" i="13" s="1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47" i="13" s="1"/>
  <c r="F566" i="13" s="1"/>
  <c r="F585" i="13" s="1"/>
  <c r="F604" i="13" s="1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J479" i="13"/>
  <c r="J476" i="13"/>
  <c r="J474" i="13"/>
  <c r="J473" i="13"/>
  <c r="J472" i="13"/>
  <c r="J471" i="13"/>
  <c r="J470" i="13"/>
  <c r="J468" i="13"/>
  <c r="J467" i="13"/>
  <c r="J466" i="13"/>
  <c r="J465" i="13"/>
  <c r="J464" i="13"/>
  <c r="J462" i="13"/>
  <c r="J463" i="13" s="1"/>
  <c r="J461" i="13"/>
  <c r="J460" i="13"/>
  <c r="J459" i="13"/>
  <c r="J458" i="13"/>
  <c r="J455" i="13"/>
  <c r="J449" i="13"/>
  <c r="J452" i="13" s="1"/>
  <c r="J443" i="13"/>
  <c r="J446" i="13" s="1"/>
  <c r="J447" i="13" s="1"/>
  <c r="J448" i="13" s="1"/>
  <c r="J437" i="13"/>
  <c r="J436" i="13"/>
  <c r="J435" i="13"/>
  <c r="J434" i="13"/>
  <c r="J433" i="13"/>
  <c r="J432" i="13"/>
  <c r="J431" i="13"/>
  <c r="J430" i="13"/>
  <c r="J429" i="13"/>
  <c r="J427" i="13"/>
  <c r="J428" i="13" s="1"/>
  <c r="J418" i="13"/>
  <c r="J420" i="13" s="1"/>
  <c r="J416" i="13"/>
  <c r="J417" i="13" s="1"/>
  <c r="J415" i="13"/>
  <c r="J412" i="13"/>
  <c r="J414" i="13" s="1"/>
  <c r="J411" i="13"/>
  <c r="J410" i="13"/>
  <c r="J409" i="13"/>
  <c r="J406" i="13"/>
  <c r="J407" i="13" s="1"/>
  <c r="J408" i="13" s="1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79" i="13"/>
  <c r="J380" i="13" s="1"/>
  <c r="J381" i="13" s="1"/>
  <c r="J378" i="13"/>
  <c r="J377" i="13"/>
  <c r="J376" i="13"/>
  <c r="J375" i="13"/>
  <c r="J374" i="13"/>
  <c r="J373" i="13"/>
  <c r="J372" i="13"/>
  <c r="J371" i="13"/>
  <c r="J370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J339" i="13"/>
  <c r="J338" i="13"/>
  <c r="J337" i="13" s="1"/>
  <c r="J336" i="13"/>
  <c r="J335" i="13"/>
  <c r="J334" i="13"/>
  <c r="J328" i="13"/>
  <c r="J327" i="13"/>
  <c r="J326" i="13"/>
  <c r="J325" i="13"/>
  <c r="J324" i="13"/>
  <c r="J323" i="13"/>
  <c r="F317" i="13"/>
  <c r="F316" i="13"/>
  <c r="F315" i="13"/>
  <c r="F314" i="13"/>
  <c r="F313" i="13"/>
  <c r="F312" i="13"/>
  <c r="F311" i="13"/>
  <c r="F310" i="13"/>
  <c r="F309" i="13"/>
  <c r="F308" i="13"/>
  <c r="F306" i="13"/>
  <c r="F305" i="13"/>
  <c r="F304" i="13"/>
  <c r="F303" i="13"/>
  <c r="F302" i="13"/>
  <c r="F301" i="13"/>
  <c r="F300" i="13"/>
  <c r="F299" i="13"/>
  <c r="F307" i="13" s="1"/>
  <c r="F298" i="13"/>
  <c r="F297" i="13"/>
  <c r="F296" i="13"/>
  <c r="F295" i="13"/>
  <c r="F294" i="13"/>
  <c r="F293" i="13"/>
  <c r="F292" i="13"/>
  <c r="F290" i="13"/>
  <c r="F289" i="13"/>
  <c r="F288" i="13"/>
  <c r="F285" i="13"/>
  <c r="F284" i="13"/>
  <c r="F283" i="13"/>
  <c r="F291" i="13" s="1"/>
  <c r="F282" i="13"/>
  <c r="F281" i="13"/>
  <c r="F280" i="13"/>
  <c r="F278" i="13"/>
  <c r="F277" i="13"/>
  <c r="F276" i="13"/>
  <c r="F275" i="13"/>
  <c r="F274" i="13"/>
  <c r="F273" i="13"/>
  <c r="F272" i="13"/>
  <c r="F271" i="13"/>
  <c r="F287" i="13" s="1"/>
  <c r="F270" i="13"/>
  <c r="F286" i="13" s="1"/>
  <c r="F269" i="13"/>
  <c r="F268" i="13"/>
  <c r="F267" i="13"/>
  <c r="F266" i="13"/>
  <c r="F265" i="13"/>
  <c r="F264" i="13"/>
  <c r="F263" i="13"/>
  <c r="F262" i="13"/>
  <c r="J243" i="13"/>
  <c r="J242" i="13"/>
  <c r="J241" i="13"/>
  <c r="J240" i="13"/>
  <c r="J239" i="13"/>
  <c r="J238" i="13"/>
  <c r="J236" i="13"/>
  <c r="J237" i="13" s="1"/>
  <c r="J217" i="13"/>
  <c r="J216" i="13"/>
  <c r="J215" i="13"/>
  <c r="J214" i="13"/>
  <c r="J213" i="13"/>
  <c r="J212" i="13"/>
  <c r="J211" i="13"/>
  <c r="J210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J142" i="13"/>
  <c r="J141" i="13"/>
  <c r="J140" i="13"/>
  <c r="J139" i="13"/>
  <c r="J138" i="13"/>
  <c r="J137" i="13"/>
  <c r="J135" i="13" s="1"/>
  <c r="J128" i="13"/>
  <c r="J127" i="13"/>
  <c r="J126" i="13"/>
  <c r="J125" i="13"/>
  <c r="J124" i="13"/>
  <c r="J123" i="13"/>
  <c r="J122" i="13"/>
  <c r="J121" i="13" s="1"/>
  <c r="J120" i="13"/>
  <c r="J119" i="13"/>
  <c r="J118" i="13"/>
  <c r="J117" i="13"/>
  <c r="J116" i="13"/>
  <c r="J115" i="13"/>
  <c r="J114" i="13"/>
  <c r="J113" i="13"/>
  <c r="J112" i="13"/>
  <c r="J111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J43" i="13"/>
  <c r="J42" i="13"/>
  <c r="J41" i="13"/>
  <c r="J40" i="13"/>
  <c r="J39" i="13"/>
  <c r="J38" i="13"/>
  <c r="J37" i="13"/>
  <c r="J36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8" i="13" s="1"/>
  <c r="J6" i="13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J268" i="12"/>
  <c r="J267" i="12"/>
  <c r="J266" i="12"/>
  <c r="J265" i="12"/>
  <c r="J264" i="12"/>
  <c r="J263" i="12"/>
  <c r="J262" i="12"/>
  <c r="J261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J165" i="12"/>
  <c r="J164" i="12"/>
  <c r="J163" i="12"/>
  <c r="J162" i="12"/>
  <c r="J161" i="12"/>
  <c r="J160" i="12"/>
  <c r="J159" i="12"/>
  <c r="J158" i="12"/>
  <c r="J157" i="12"/>
  <c r="J150" i="12"/>
  <c r="J149" i="12"/>
  <c r="J148" i="12"/>
  <c r="J146" i="12"/>
  <c r="J147" i="12" s="1"/>
  <c r="J145" i="12"/>
  <c r="J144" i="12"/>
  <c r="J143" i="12"/>
  <c r="J142" i="12"/>
  <c r="J141" i="12"/>
  <c r="J140" i="12" s="1"/>
  <c r="J139" i="12"/>
  <c r="J137" i="12"/>
  <c r="J138" i="12" s="1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J51" i="12"/>
  <c r="J50" i="12"/>
  <c r="J49" i="12"/>
  <c r="J48" i="12"/>
  <c r="J47" i="12"/>
  <c r="J46" i="12"/>
  <c r="J45" i="12"/>
  <c r="J44" i="12"/>
  <c r="J43" i="12"/>
  <c r="J42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774" i="6"/>
  <c r="J773" i="6"/>
  <c r="J772" i="6"/>
  <c r="J771" i="6"/>
  <c r="J770" i="6"/>
  <c r="J769" i="6"/>
  <c r="J768" i="6"/>
  <c r="J767" i="6"/>
  <c r="J766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38" i="6"/>
  <c r="F737" i="6"/>
  <c r="F736" i="6"/>
  <c r="F735" i="6"/>
  <c r="F734" i="6"/>
  <c r="F733" i="6"/>
  <c r="F732" i="6"/>
  <c r="F731" i="6"/>
  <c r="F730" i="6"/>
  <c r="F719" i="6"/>
  <c r="F718" i="6"/>
  <c r="F717" i="6"/>
  <c r="F716" i="6"/>
  <c r="F715" i="6"/>
  <c r="F714" i="6"/>
  <c r="F713" i="6"/>
  <c r="F712" i="6"/>
  <c r="F701" i="6"/>
  <c r="F700" i="6"/>
  <c r="F699" i="6"/>
  <c r="F698" i="6"/>
  <c r="F697" i="6"/>
  <c r="F696" i="6"/>
  <c r="F693" i="6"/>
  <c r="F711" i="6" s="1"/>
  <c r="F729" i="6" s="1"/>
  <c r="F692" i="6"/>
  <c r="F710" i="6" s="1"/>
  <c r="F728" i="6" s="1"/>
  <c r="F686" i="6"/>
  <c r="F685" i="6"/>
  <c r="F684" i="6"/>
  <c r="F683" i="6"/>
  <c r="F682" i="6"/>
  <c r="F681" i="6"/>
  <c r="F680" i="6"/>
  <c r="F679" i="6"/>
  <c r="F678" i="6"/>
  <c r="F677" i="6"/>
  <c r="F676" i="6"/>
  <c r="F675" i="6"/>
  <c r="F670" i="6"/>
  <c r="F706" i="6" s="1"/>
  <c r="F724" i="6" s="1"/>
  <c r="F742" i="6" s="1"/>
  <c r="F669" i="6"/>
  <c r="F705" i="6" s="1"/>
  <c r="F723" i="6" s="1"/>
  <c r="F741" i="6" s="1"/>
  <c r="F668" i="6"/>
  <c r="F704" i="6" s="1"/>
  <c r="F722" i="6" s="1"/>
  <c r="F740" i="6" s="1"/>
  <c r="F667" i="6"/>
  <c r="F703" i="6" s="1"/>
  <c r="F721" i="6" s="1"/>
  <c r="F739" i="6" s="1"/>
  <c r="F666" i="6"/>
  <c r="F702" i="6" s="1"/>
  <c r="F720" i="6" s="1"/>
  <c r="F665" i="6"/>
  <c r="F664" i="6"/>
  <c r="F663" i="6"/>
  <c r="F662" i="6"/>
  <c r="F661" i="6"/>
  <c r="F660" i="6"/>
  <c r="F659" i="6"/>
  <c r="F695" i="6" s="1"/>
  <c r="F658" i="6"/>
  <c r="F694" i="6" s="1"/>
  <c r="F657" i="6"/>
  <c r="F656" i="6"/>
  <c r="F674" i="6" s="1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62" i="6"/>
  <c r="J563" i="6" s="1"/>
  <c r="J564" i="6" s="1"/>
  <c r="J559" i="6"/>
  <c r="J560" i="6" s="1"/>
  <c r="J561" i="6" s="1"/>
  <c r="J556" i="6"/>
  <c r="J557" i="6" s="1"/>
  <c r="J558" i="6" s="1"/>
  <c r="J553" i="6"/>
  <c r="J554" i="6" s="1"/>
  <c r="J555" i="6" s="1"/>
  <c r="J550" i="6"/>
  <c r="J551" i="6" s="1"/>
  <c r="J552" i="6" s="1"/>
  <c r="J547" i="6"/>
  <c r="J548" i="6" s="1"/>
  <c r="J549" i="6" s="1"/>
  <c r="J545" i="6"/>
  <c r="J546" i="6" s="1"/>
  <c r="J544" i="6"/>
  <c r="J543" i="6"/>
  <c r="J542" i="6" s="1"/>
  <c r="J541" i="6"/>
  <c r="J540" i="6"/>
  <c r="J539" i="6"/>
  <c r="J538" i="6"/>
  <c r="J537" i="6"/>
  <c r="J536" i="6"/>
  <c r="J535" i="6"/>
  <c r="J533" i="6"/>
  <c r="J534" i="6" s="1"/>
  <c r="J532" i="6"/>
  <c r="J530" i="6"/>
  <c r="J531" i="6" s="1"/>
  <c r="J529" i="6"/>
  <c r="J528" i="6"/>
  <c r="J527" i="6"/>
  <c r="J526" i="6"/>
  <c r="J525" i="6"/>
  <c r="J524" i="6"/>
  <c r="J523" i="6"/>
  <c r="J520" i="6"/>
  <c r="J517" i="6"/>
  <c r="J514" i="6"/>
  <c r="J515" i="6" s="1"/>
  <c r="J516" i="6" s="1"/>
  <c r="J518" i="6" s="1"/>
  <c r="J511" i="6"/>
  <c r="J512" i="6" s="1"/>
  <c r="J513" i="6" s="1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49" i="6"/>
  <c r="F467" i="6" s="1"/>
  <c r="F485" i="6" s="1"/>
  <c r="F448" i="6"/>
  <c r="F466" i="6" s="1"/>
  <c r="F484" i="6" s="1"/>
  <c r="F447" i="6"/>
  <c r="F465" i="6" s="1"/>
  <c r="F483" i="6" s="1"/>
  <c r="F446" i="6"/>
  <c r="F464" i="6" s="1"/>
  <c r="F482" i="6" s="1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2" i="6"/>
  <c r="F413" i="6" s="1"/>
  <c r="F431" i="6" s="1"/>
  <c r="F432" i="6" s="1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16" i="6"/>
  <c r="J317" i="6" s="1"/>
  <c r="J318" i="6" s="1"/>
  <c r="J313" i="6"/>
  <c r="J314" i="6" s="1"/>
  <c r="J315" i="6" s="1"/>
  <c r="J311" i="6"/>
  <c r="J312" i="6" s="1"/>
  <c r="J310" i="6"/>
  <c r="J307" i="6"/>
  <c r="J308" i="6" s="1"/>
  <c r="J309" i="6" s="1"/>
  <c r="J305" i="6"/>
  <c r="J306" i="6" s="1"/>
  <c r="J304" i="6"/>
  <c r="J303" i="6"/>
  <c r="J302" i="6"/>
  <c r="J301" i="6"/>
  <c r="J300" i="6"/>
  <c r="J299" i="6"/>
  <c r="J298" i="6"/>
  <c r="J296" i="6"/>
  <c r="J297" i="6" s="1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8" i="6"/>
  <c r="J277" i="6"/>
  <c r="J276" i="6"/>
  <c r="J275" i="6"/>
  <c r="J274" i="6"/>
  <c r="J273" i="6"/>
  <c r="J272" i="6"/>
  <c r="J271" i="6"/>
  <c r="J270" i="6"/>
  <c r="J269" i="6" s="1"/>
  <c r="J268" i="6"/>
  <c r="J267" i="6"/>
  <c r="J266" i="6"/>
  <c r="J265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6" i="6"/>
  <c r="F233" i="6"/>
  <c r="F228" i="6"/>
  <c r="F227" i="6"/>
  <c r="F237" i="6" s="1"/>
  <c r="F226" i="6"/>
  <c r="F235" i="6" s="1"/>
  <c r="F225" i="6"/>
  <c r="F234" i="6" s="1"/>
  <c r="F223" i="6"/>
  <c r="F218" i="6"/>
  <c r="F217" i="6"/>
  <c r="F216" i="6"/>
  <c r="F215" i="6"/>
  <c r="F214" i="6"/>
  <c r="F224" i="6" s="1"/>
  <c r="F213" i="6"/>
  <c r="F212" i="6"/>
  <c r="F222" i="6" s="1"/>
  <c r="F232" i="6" s="1"/>
  <c r="F211" i="6"/>
  <c r="F221" i="6" s="1"/>
  <c r="F231" i="6" s="1"/>
  <c r="F210" i="6"/>
  <c r="F220" i="6" s="1"/>
  <c r="F230" i="6" s="1"/>
  <c r="F209" i="6"/>
  <c r="F219" i="6" s="1"/>
  <c r="F229" i="6" s="1"/>
  <c r="F206" i="6"/>
  <c r="F207" i="6" s="1"/>
  <c r="F208" i="6" s="1"/>
  <c r="F238" i="6" s="1"/>
  <c r="F203" i="6"/>
  <c r="F204" i="6" s="1"/>
  <c r="F205" i="6" s="1"/>
  <c r="F202" i="6"/>
  <c r="F201" i="6"/>
  <c r="F200" i="6"/>
  <c r="F199" i="6"/>
  <c r="F198" i="6"/>
  <c r="F197" i="6"/>
  <c r="F196" i="6"/>
  <c r="F195" i="6"/>
  <c r="F194" i="6"/>
  <c r="F193" i="6"/>
  <c r="F191" i="6"/>
  <c r="F192" i="6" s="1"/>
  <c r="F190" i="6"/>
  <c r="F189" i="6"/>
  <c r="F188" i="6"/>
  <c r="F187" i="6"/>
  <c r="F186" i="6"/>
  <c r="F185" i="6"/>
  <c r="F184" i="6"/>
  <c r="F183" i="6"/>
  <c r="F182" i="6"/>
  <c r="F181" i="6"/>
  <c r="F180" i="6"/>
  <c r="F179" i="6"/>
  <c r="J147" i="6"/>
  <c r="J150" i="6"/>
  <c r="J151" i="6"/>
  <c r="J152" i="6"/>
  <c r="J153" i="6"/>
  <c r="J154" i="6"/>
  <c r="J155" i="6"/>
  <c r="J156" i="6"/>
  <c r="J158" i="6"/>
  <c r="J157" i="6" s="1"/>
  <c r="J159" i="6"/>
  <c r="J160" i="6"/>
  <c r="J161" i="6"/>
  <c r="J162" i="6"/>
  <c r="J163" i="6"/>
  <c r="J164" i="6" s="1"/>
  <c r="J165" i="6"/>
  <c r="J166" i="6"/>
  <c r="J167" i="6"/>
  <c r="J168" i="6"/>
  <c r="J169" i="6" s="1"/>
  <c r="J170" i="6"/>
  <c r="J171" i="6"/>
  <c r="J172" i="6"/>
  <c r="J173" i="6"/>
  <c r="J144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3" i="6"/>
  <c r="F114" i="6" s="1"/>
  <c r="F112" i="6"/>
  <c r="F111" i="6"/>
  <c r="F110" i="6"/>
  <c r="F109" i="6"/>
  <c r="F108" i="6"/>
  <c r="F106" i="6"/>
  <c r="F107" i="6" s="1"/>
  <c r="F105" i="6"/>
  <c r="F104" i="6"/>
  <c r="F103" i="6"/>
  <c r="F102" i="6"/>
  <c r="F101" i="6"/>
  <c r="F100" i="6"/>
  <c r="F99" i="6"/>
  <c r="F98" i="6"/>
  <c r="F97" i="6"/>
  <c r="F96" i="6" s="1"/>
  <c r="F95" i="6" s="1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J55" i="6"/>
  <c r="J54" i="6"/>
  <c r="J53" i="6"/>
  <c r="J52" i="6"/>
  <c r="J51" i="6"/>
  <c r="J50" i="6"/>
  <c r="J49" i="6"/>
  <c r="J48" i="6"/>
  <c r="J47" i="6"/>
  <c r="J46" i="6"/>
  <c r="J45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37" i="6" l="1"/>
  <c r="J38" i="6"/>
  <c r="J749" i="13"/>
  <c r="J745" i="13"/>
  <c r="J746" i="13" s="1"/>
  <c r="F385" i="15"/>
  <c r="F703" i="30"/>
  <c r="F717" i="30"/>
  <c r="F375" i="15"/>
  <c r="F731" i="30"/>
  <c r="F492" i="15"/>
  <c r="F501" i="15"/>
  <c r="F229" i="17"/>
  <c r="F241" i="17"/>
  <c r="F511" i="15"/>
  <c r="F422" i="16"/>
  <c r="F688" i="6"/>
  <c r="J454" i="13"/>
  <c r="F856" i="13"/>
  <c r="F671" i="6"/>
  <c r="F672" i="6" s="1"/>
  <c r="F687" i="6"/>
  <c r="J453" i="13"/>
  <c r="J521" i="6"/>
  <c r="J519" i="6"/>
  <c r="J522" i="6" s="1"/>
  <c r="F834" i="13"/>
  <c r="F854" i="13"/>
  <c r="F890" i="13"/>
  <c r="F820" i="13"/>
  <c r="F279" i="13"/>
  <c r="F839" i="13"/>
  <c r="F561" i="13"/>
  <c r="F580" i="13" s="1"/>
  <c r="F599" i="13" s="1"/>
  <c r="F618" i="13" s="1"/>
  <c r="F858" i="13"/>
  <c r="F450" i="6"/>
  <c r="F468" i="6" s="1"/>
  <c r="F486" i="6" s="1"/>
  <c r="J136" i="13"/>
  <c r="F502" i="15" l="1"/>
  <c r="F512" i="15"/>
  <c r="F522" i="15"/>
  <c r="F532" i="15" s="1"/>
  <c r="F707" i="6"/>
  <c r="F725" i="6" s="1"/>
  <c r="F743" i="6" s="1"/>
  <c r="F689" i="6"/>
  <c r="F853" i="13"/>
  <c r="F690" i="6"/>
  <c r="F708" i="6"/>
  <c r="F726" i="6" s="1"/>
  <c r="F744" i="6" s="1"/>
  <c r="F673" i="6"/>
  <c r="F873" i="13"/>
  <c r="F691" i="6" l="1"/>
  <c r="F709" i="6"/>
  <c r="F727" i="6" s="1"/>
  <c r="F745" i="6" s="1"/>
  <c r="F892" i="13"/>
  <c r="F872" i="13"/>
  <c r="F891" i="13" l="1"/>
  <c r="F364" i="6" l="1"/>
  <c r="F363" i="6"/>
  <c r="F362" i="6"/>
  <c r="F361" i="6"/>
</calcChain>
</file>

<file path=xl/sharedStrings.xml><?xml version="1.0" encoding="utf-8"?>
<sst xmlns="http://schemas.openxmlformats.org/spreadsheetml/2006/main" count="22619" uniqueCount="6369">
  <si>
    <t>Table of Contents</t>
  </si>
  <si>
    <t>Wye Strainers</t>
  </si>
  <si>
    <t>Iron Body</t>
  </si>
  <si>
    <t>Model 11M and 11M-N</t>
  </si>
  <si>
    <t>Model 251</t>
  </si>
  <si>
    <t>Model 752 and 752-N</t>
  </si>
  <si>
    <t>Bronze Body</t>
  </si>
  <si>
    <t>Model LF351 and LF351-N</t>
  </si>
  <si>
    <t>Model LF352 and LF352-N</t>
  </si>
  <si>
    <t>Model LF358 and LF358-N</t>
  </si>
  <si>
    <t>Carbon Steel Body</t>
  </si>
  <si>
    <t>Model 581CS and 581CS-N</t>
  </si>
  <si>
    <t>Model 582CS and 582CS-N</t>
  </si>
  <si>
    <t>Model 861CS</t>
  </si>
  <si>
    <t>Model 862CS</t>
  </si>
  <si>
    <t>Model 863M</t>
  </si>
  <si>
    <t>Model 864M</t>
  </si>
  <si>
    <t>Model 781CS and 781CS-N</t>
  </si>
  <si>
    <t>Model 781-WE</t>
  </si>
  <si>
    <t>Model 782CS and 782CS-N</t>
  </si>
  <si>
    <t>Model 782-WE</t>
  </si>
  <si>
    <t>Model 764</t>
  </si>
  <si>
    <t>Stainless Steel Body</t>
  </si>
  <si>
    <t>Model 581SS and 581SS-N</t>
  </si>
  <si>
    <t>Model 582SS and 582SS-N</t>
  </si>
  <si>
    <t>Model 861SS</t>
  </si>
  <si>
    <t>Model 862SS</t>
  </si>
  <si>
    <t>Model 781SS</t>
  </si>
  <si>
    <t>Model 781SS-WE</t>
  </si>
  <si>
    <t>Model 782SS</t>
  </si>
  <si>
    <t>Model 782SS-WE</t>
  </si>
  <si>
    <t>Simplex Basket Strainers</t>
  </si>
  <si>
    <t>Model 11M</t>
  </si>
  <si>
    <t>Class 250</t>
  </si>
  <si>
    <t>Iron Body ASTM A126 Gr. B – Threaded - FNPT - Made in USA</t>
  </si>
  <si>
    <r>
      <rPr>
        <b/>
        <sz val="9"/>
        <color rgb="FFFFFFFF"/>
        <rFont val="Arial"/>
        <family val="2"/>
      </rPr>
      <t>MODEL</t>
    </r>
  </si>
  <si>
    <t>CONNECTION</t>
  </si>
  <si>
    <t>SCREEN</t>
  </si>
  <si>
    <r>
      <rPr>
        <b/>
        <sz val="9"/>
        <color rgb="FFFFFFFF"/>
        <rFont val="Arial"/>
        <family val="2"/>
      </rPr>
      <t>SIZE</t>
    </r>
  </si>
  <si>
    <r>
      <rPr>
        <b/>
        <sz val="9"/>
        <color rgb="FFFFFFFF"/>
        <rFont val="Arial"/>
        <family val="2"/>
      </rPr>
      <t>WEIGHT</t>
    </r>
  </si>
  <si>
    <r>
      <rPr>
        <b/>
        <sz val="9"/>
        <color rgb="FFFFFFFF"/>
        <rFont val="Arial"/>
        <family val="2"/>
      </rPr>
      <t>ORDER CODE</t>
    </r>
  </si>
  <si>
    <t>LIST PRICE</t>
  </si>
  <si>
    <r>
      <rPr>
        <sz val="9"/>
        <color rgb="FF231F20"/>
        <rFont val="Arial"/>
        <family val="2"/>
      </rPr>
      <t>Material</t>
    </r>
  </si>
  <si>
    <r>
      <rPr>
        <sz val="9"/>
        <color rgb="FF231F20"/>
        <rFont val="Arial"/>
        <family val="2"/>
      </rPr>
      <t>Size</t>
    </r>
  </si>
  <si>
    <r>
      <rPr>
        <sz val="9"/>
        <color rgb="FF231F20"/>
        <rFont val="Arial"/>
        <family val="2"/>
      </rPr>
      <t>Inches</t>
    </r>
  </si>
  <si>
    <r>
      <rPr>
        <sz val="9"/>
        <color rgb="FF231F20"/>
        <rFont val="Arial"/>
        <family val="2"/>
      </rPr>
      <t>mm</t>
    </r>
  </si>
  <si>
    <r>
      <rPr>
        <sz val="9"/>
        <color rgb="FF231F20"/>
        <rFont val="Arial"/>
        <family val="2"/>
      </rPr>
      <t>lb.</t>
    </r>
  </si>
  <si>
    <r>
      <rPr>
        <sz val="9"/>
        <color rgb="FF231F20"/>
        <rFont val="Arial"/>
        <family val="2"/>
      </rPr>
      <t>kg</t>
    </r>
  </si>
  <si>
    <t>11M</t>
  </si>
  <si>
    <t>NPT</t>
  </si>
  <si>
    <t>304SS Perf</t>
  </si>
  <si>
    <t>20 Mesh</t>
  </si>
  <si>
    <t>M6700101</t>
  </si>
  <si>
    <t>40 Mesh</t>
  </si>
  <si>
    <t>M6712913</t>
  </si>
  <si>
    <t>100 Mesh</t>
  </si>
  <si>
    <t>M6709566</t>
  </si>
  <si>
    <t>M6700116</t>
  </si>
  <si>
    <t>M6711328</t>
  </si>
  <si>
    <t>M6709570</t>
  </si>
  <si>
    <t>M6700137</t>
  </si>
  <si>
    <t>M6709574</t>
  </si>
  <si>
    <t>M6709576</t>
  </si>
  <si>
    <t>M6700188</t>
  </si>
  <si>
    <t>M6709624</t>
  </si>
  <si>
    <t>M6709626</t>
  </si>
  <si>
    <t>M6700555</t>
  </si>
  <si>
    <t>M6709678</t>
  </si>
  <si>
    <t>M6709681</t>
  </si>
  <si>
    <t>M6700646</t>
  </si>
  <si>
    <t>M6709774</t>
  </si>
  <si>
    <t>M6709776</t>
  </si>
  <si>
    <t>M6700700</t>
  </si>
  <si>
    <t>M6709796</t>
  </si>
  <si>
    <t>M6709798</t>
  </si>
  <si>
    <t>M6701296</t>
  </si>
  <si>
    <t>M6709866</t>
  </si>
  <si>
    <t>M6709869</t>
  </si>
  <si>
    <t>M6701553</t>
  </si>
  <si>
    <t>M6711518</t>
  </si>
  <si>
    <t>M6730640</t>
  </si>
  <si>
    <t>M6702195</t>
  </si>
  <si>
    <t>M6712012</t>
  </si>
  <si>
    <t>M6710660</t>
  </si>
  <si>
    <t>M6702808</t>
  </si>
  <si>
    <t>M6740096</t>
  </si>
  <si>
    <t>M6714051</t>
  </si>
  <si>
    <r>
      <rPr>
        <b/>
        <sz val="11"/>
        <color rgb="FF231F20"/>
        <rFont val="Arial"/>
        <family val="2"/>
      </rPr>
      <t>Model 11M</t>
    </r>
    <r>
      <rPr>
        <b/>
        <sz val="11"/>
        <rFont val="Arial"/>
        <family val="2"/>
      </rPr>
      <t>-N</t>
    </r>
  </si>
  <si>
    <t>Iron Body ASTM A126 Gr. B – Threaded - FNPT - Imported</t>
  </si>
  <si>
    <t>11M-N</t>
  </si>
  <si>
    <t>M6700102</t>
  </si>
  <si>
    <t>M6700117</t>
  </si>
  <si>
    <t>M6700138</t>
  </si>
  <si>
    <t>M6700189</t>
  </si>
  <si>
    <t>M6700556</t>
  </si>
  <si>
    <t>M6700647</t>
  </si>
  <si>
    <t>M6700701</t>
  </si>
  <si>
    <t>M6701297</t>
  </si>
  <si>
    <t>M6707321</t>
  </si>
  <si>
    <t>M6707320</t>
  </si>
  <si>
    <t>M6746587</t>
  </si>
  <si>
    <t xml:space="preserve">Model 11M and 11M-N </t>
  </si>
  <si>
    <t>Spare Parts</t>
  </si>
  <si>
    <t>SPARE TYPE</t>
  </si>
  <si>
    <t>Gasket</t>
  </si>
  <si>
    <t>M6722307</t>
  </si>
  <si>
    <t>M6722338</t>
  </si>
  <si>
    <t>M6722398</t>
  </si>
  <si>
    <t>M6722626</t>
  </si>
  <si>
    <t>M6722776</t>
  </si>
  <si>
    <t>M6722695</t>
  </si>
  <si>
    <t>M6723130</t>
  </si>
  <si>
    <t>M6724040</t>
  </si>
  <si>
    <t>M6710497</t>
  </si>
  <si>
    <t>M6710498</t>
  </si>
  <si>
    <t>M6714557</t>
  </si>
  <si>
    <t>M6714548</t>
  </si>
  <si>
    <t>M6714914</t>
  </si>
  <si>
    <t>M6710513</t>
  </si>
  <si>
    <t>1/16" perf</t>
  </si>
  <si>
    <t>M6710229</t>
  </si>
  <si>
    <t>M6711012</t>
  </si>
  <si>
    <t>40 Mesh Lined Perf Screen</t>
  </si>
  <si>
    <t>M6712144</t>
  </si>
  <si>
    <t>M6711327</t>
  </si>
  <si>
    <t>M6712387</t>
  </si>
  <si>
    <t>M6710511</t>
  </si>
  <si>
    <t>M6709528</t>
  </si>
  <si>
    <t>M6709783</t>
  </si>
  <si>
    <t>M6709831</t>
  </si>
  <si>
    <t>M6709922</t>
  </si>
  <si>
    <t>M6711519</t>
  </si>
  <si>
    <t>M6711150</t>
  </si>
  <si>
    <t>M6740095</t>
  </si>
  <si>
    <t>60 Mesh Lined Perf Screen</t>
  </si>
  <si>
    <t>M6712088</t>
  </si>
  <si>
    <t>M6710286</t>
  </si>
  <si>
    <t>M6710293</t>
  </si>
  <si>
    <t>M6709730</t>
  </si>
  <si>
    <t>M6709784</t>
  </si>
  <si>
    <t>M6709834</t>
  </si>
  <si>
    <t>M6709929</t>
  </si>
  <si>
    <t>M6711140</t>
  </si>
  <si>
    <t>M6710303</t>
  </si>
  <si>
    <t>M6717161</t>
  </si>
  <si>
    <t>80 Mesh Lined Perf Screen</t>
  </si>
  <si>
    <t>M6710284</t>
  </si>
  <si>
    <t>M6710287</t>
  </si>
  <si>
    <t>M6710294</t>
  </si>
  <si>
    <t>M6709733</t>
  </si>
  <si>
    <t>M6710251</t>
  </si>
  <si>
    <t>M6710252</t>
  </si>
  <si>
    <t>M6709931</t>
  </si>
  <si>
    <t>M6710305</t>
  </si>
  <si>
    <t>M6718493</t>
  </si>
  <si>
    <t>100 Mesh Lined Perf Screen</t>
  </si>
  <si>
    <t>M6710531</t>
  </si>
  <si>
    <t>M6710285</t>
  </si>
  <si>
    <t>M6710288</t>
  </si>
  <si>
    <t>M6710296</t>
  </si>
  <si>
    <t>M6709524</t>
  </si>
  <si>
    <t>M6709525</t>
  </si>
  <si>
    <t>M6709526</t>
  </si>
  <si>
    <t>M6709527</t>
  </si>
  <si>
    <t>M6709997</t>
  </si>
  <si>
    <t>M6710304</t>
  </si>
  <si>
    <t>M6714050</t>
  </si>
  <si>
    <t>Iron Blowoff Plugs</t>
  </si>
  <si>
    <t>M6724106</t>
  </si>
  <si>
    <t>M6722327</t>
  </si>
  <si>
    <t>M6722457</t>
  </si>
  <si>
    <t>M6723117</t>
  </si>
  <si>
    <t>M6723400</t>
  </si>
  <si>
    <t>Model 251M</t>
  </si>
  <si>
    <t>Class 300</t>
  </si>
  <si>
    <t>251M</t>
  </si>
  <si>
    <t>1/16"</t>
  </si>
  <si>
    <t>M6726962</t>
  </si>
  <si>
    <t>N/A</t>
  </si>
  <si>
    <t>M6700120</t>
  </si>
  <si>
    <t>M6730168</t>
  </si>
  <si>
    <t>M6700145</t>
  </si>
  <si>
    <t>M6710555</t>
  </si>
  <si>
    <t>M6710551</t>
  </si>
  <si>
    <t>M6700196</t>
  </si>
  <si>
    <t>M6710553</t>
  </si>
  <si>
    <t>M6710549</t>
  </si>
  <si>
    <t>M6700567</t>
  </si>
  <si>
    <t>M6735768</t>
  </si>
  <si>
    <t>M6721846</t>
  </si>
  <si>
    <t>M6700656</t>
  </si>
  <si>
    <t>M6710645</t>
  </si>
  <si>
    <t>M6744868</t>
  </si>
  <si>
    <t>M6700721</t>
  </si>
  <si>
    <t>M6730803</t>
  </si>
  <si>
    <t>M6701338</t>
  </si>
  <si>
    <t>M6709881</t>
  </si>
  <si>
    <t>M6710770</t>
  </si>
  <si>
    <t>M6701568</t>
  </si>
  <si>
    <t>M6716278</t>
  </si>
  <si>
    <t>M6702251</t>
  </si>
  <si>
    <t>M6739148</t>
  </si>
  <si>
    <t>M6756206</t>
  </si>
  <si>
    <t>M6722335</t>
  </si>
  <si>
    <t>M6707126</t>
  </si>
  <si>
    <t>M6722625</t>
  </si>
  <si>
    <t>M6722439</t>
  </si>
  <si>
    <t>M6707127</t>
  </si>
  <si>
    <t>M6723129</t>
  </si>
  <si>
    <t>M6723341</t>
  </si>
  <si>
    <t>1/16" Perf Screen</t>
  </si>
  <si>
    <t>20 Mesh Lined Perf Screen</t>
  </si>
  <si>
    <t>Carbon Steel Blowoff Plugs</t>
  </si>
  <si>
    <r>
      <rPr>
        <b/>
        <sz val="12"/>
        <color rgb="FF231F20"/>
        <rFont val="Arial"/>
        <family val="2"/>
      </rPr>
      <t>Model 758</t>
    </r>
  </si>
  <si>
    <r>
      <rPr>
        <b/>
        <sz val="11"/>
        <color rgb="FF231F20"/>
        <rFont val="Arial"/>
        <family val="2"/>
      </rPr>
      <t>Class 125</t>
    </r>
  </si>
  <si>
    <t>Iron Body ASTM A126 Gr. B – Flanged Ends 125# - Made in USA</t>
  </si>
  <si>
    <t>125# Flanged</t>
  </si>
  <si>
    <t>3/4</t>
  </si>
  <si>
    <t>M6707451</t>
  </si>
  <si>
    <t>M6757124</t>
  </si>
  <si>
    <t>M6707452</t>
  </si>
  <si>
    <t>M6718139</t>
  </si>
  <si>
    <t>M6734387</t>
  </si>
  <si>
    <t>1-1/4</t>
  </si>
  <si>
    <t>M6700674</t>
  </si>
  <si>
    <t>1-1/2</t>
  </si>
  <si>
    <t>M6718298</t>
  </si>
  <si>
    <t>M6743371</t>
  </si>
  <si>
    <t>M6701471</t>
  </si>
  <si>
    <t>M6709967</t>
  </si>
  <si>
    <t>M6721585</t>
  </si>
  <si>
    <t>2-1/2</t>
  </si>
  <si>
    <t>M6701637</t>
  </si>
  <si>
    <t>M6713069</t>
  </si>
  <si>
    <t>M6713719</t>
  </si>
  <si>
    <t>M6702406</t>
  </si>
  <si>
    <t>M6710054</t>
  </si>
  <si>
    <t>M6710057</t>
  </si>
  <si>
    <t>M6703016</t>
  </si>
  <si>
    <t>M6710111</t>
  </si>
  <si>
    <t>M6710113</t>
  </si>
  <si>
    <t>1/8"</t>
  </si>
  <si>
    <t>M6703401</t>
  </si>
  <si>
    <t>M6735267</t>
  </si>
  <si>
    <t>M6745521</t>
  </si>
  <si>
    <t>M6703745</t>
  </si>
  <si>
    <t>M6710145</t>
  </si>
  <si>
    <t>M6710147</t>
  </si>
  <si>
    <t>M6704218</t>
  </si>
  <si>
    <t>M6711892</t>
  </si>
  <si>
    <t>M6716519</t>
  </si>
  <si>
    <t>M6704619</t>
  </si>
  <si>
    <t>M6711894</t>
  </si>
  <si>
    <t>M6713530</t>
  </si>
  <si>
    <t>M6705077</t>
  </si>
  <si>
    <t>M6734503</t>
  </si>
  <si>
    <t>M6705362</t>
  </si>
  <si>
    <t>M6732628</t>
  </si>
  <si>
    <t>M6705580</t>
  </si>
  <si>
    <t>M6705765</t>
  </si>
  <si>
    <t>M6705882</t>
  </si>
  <si>
    <t>M6706042</t>
  </si>
  <si>
    <t>Iron Body ASTM A126 Gr. B – Flanged Ends 125# - Imported</t>
  </si>
  <si>
    <t>758-N</t>
  </si>
  <si>
    <t>M6706955</t>
  </si>
  <si>
    <t>M6706956</t>
  </si>
  <si>
    <t>M6706957</t>
  </si>
  <si>
    <t>M6706958</t>
  </si>
  <si>
    <t>M6706959</t>
  </si>
  <si>
    <t>M6706960</t>
  </si>
  <si>
    <t>M6706961</t>
  </si>
  <si>
    <t>M6706962</t>
  </si>
  <si>
    <t>M6706963</t>
  </si>
  <si>
    <t>M6707970</t>
  </si>
  <si>
    <t>M6707971</t>
  </si>
  <si>
    <t>M6752023</t>
  </si>
  <si>
    <t>M6739823</t>
  </si>
  <si>
    <t>M6739824</t>
  </si>
  <si>
    <t xml:space="preserve">Model 758 &amp; 758-N </t>
  </si>
  <si>
    <t>M6722431</t>
  </si>
  <si>
    <t>M6723232</t>
  </si>
  <si>
    <t>M6723739</t>
  </si>
  <si>
    <t>M6724132</t>
  </si>
  <si>
    <t>M6724381</t>
  </si>
  <si>
    <t>M6724552</t>
  </si>
  <si>
    <t>M6724876</t>
  </si>
  <si>
    <t>M6725128</t>
  </si>
  <si>
    <t>M6725142</t>
  </si>
  <si>
    <t>M6725189</t>
  </si>
  <si>
    <t>M6725317</t>
  </si>
  <si>
    <t>M6725312</t>
  </si>
  <si>
    <t>M6725372</t>
  </si>
  <si>
    <t>M6716217</t>
  </si>
  <si>
    <t>M6711581</t>
  </si>
  <si>
    <t>M6710310</t>
  </si>
  <si>
    <t>M6710336</t>
  </si>
  <si>
    <t>M6709515</t>
  </si>
  <si>
    <t>M6710346</t>
  </si>
  <si>
    <t>1/8" Perf Screen</t>
  </si>
  <si>
    <t>M6710350</t>
  </si>
  <si>
    <t>M6709529</t>
  </si>
  <si>
    <t>M6710364</t>
  </si>
  <si>
    <t>M6734725</t>
  </si>
  <si>
    <t>M6736978</t>
  </si>
  <si>
    <t>M6710271</t>
  </si>
  <si>
    <t>M6710400</t>
  </si>
  <si>
    <t>M6710401</t>
  </si>
  <si>
    <t>M6709916</t>
  </si>
  <si>
    <t>M6710726</t>
  </si>
  <si>
    <t>M6710026</t>
  </si>
  <si>
    <t>M6710095</t>
  </si>
  <si>
    <t>M6714061</t>
  </si>
  <si>
    <t>M6726030</t>
  </si>
  <si>
    <t>M6710365</t>
  </si>
  <si>
    <t>M6717362</t>
  </si>
  <si>
    <t>M6713568</t>
  </si>
  <si>
    <t>M6728293</t>
  </si>
  <si>
    <t>M6728288</t>
  </si>
  <si>
    <t>M6710282</t>
  </si>
  <si>
    <t>M6716752</t>
  </si>
  <si>
    <t>M6717707</t>
  </si>
  <si>
    <t>M6709928</t>
  </si>
  <si>
    <t>M6712550</t>
  </si>
  <si>
    <t>M6710030</t>
  </si>
  <si>
    <t>M6727842</t>
  </si>
  <si>
    <t>M6716776</t>
  </si>
  <si>
    <t>M6710137</t>
  </si>
  <si>
    <t>M6720335</t>
  </si>
  <si>
    <t>M6710385</t>
  </si>
  <si>
    <t>M6713767</t>
  </si>
  <si>
    <t>M6713111</t>
  </si>
  <si>
    <t>M6730935</t>
  </si>
  <si>
    <t>M6710334</t>
  </si>
  <si>
    <t>M6710637</t>
  </si>
  <si>
    <t>M6710032</t>
  </si>
  <si>
    <t>M6711303</t>
  </si>
  <si>
    <t>M6735096</t>
  </si>
  <si>
    <t>M6730937</t>
  </si>
  <si>
    <t>M6712937</t>
  </si>
  <si>
    <t>M6714530</t>
  </si>
  <si>
    <t>M6718421</t>
  </si>
  <si>
    <t>M6716790</t>
  </si>
  <si>
    <t>M6761875</t>
  </si>
  <si>
    <t>M6763041</t>
  </si>
  <si>
    <t>M6719955</t>
  </si>
  <si>
    <t>M6710332</t>
  </si>
  <si>
    <t>M6711192</t>
  </si>
  <si>
    <t>M6710034</t>
  </si>
  <si>
    <t>M6710496</t>
  </si>
  <si>
    <t>M6729560</t>
  </si>
  <si>
    <t>M6735120</t>
  </si>
  <si>
    <t>M6711330</t>
  </si>
  <si>
    <t>M6711382</t>
  </si>
  <si>
    <t>M6714039</t>
  </si>
  <si>
    <t>M6734386</t>
  </si>
  <si>
    <t>M6709940</t>
  </si>
  <si>
    <t>M6710413</t>
  </si>
  <si>
    <t>M6710038</t>
  </si>
  <si>
    <t>M6710097</t>
  </si>
  <si>
    <t>M6711009</t>
  </si>
  <si>
    <t>M6726031</t>
  </si>
  <si>
    <t>M6711584</t>
  </si>
  <si>
    <t>M6711728</t>
  </si>
  <si>
    <t>M6713384</t>
  </si>
  <si>
    <t>M6722687</t>
  </si>
  <si>
    <t>M6723326</t>
  </si>
  <si>
    <t>M6723394</t>
  </si>
  <si>
    <t>M6724047</t>
  </si>
  <si>
    <t>Model 752</t>
  </si>
  <si>
    <t>Iron Body ASTM A126 Gr. B – Flanged Ends 250# - Made in USA</t>
  </si>
  <si>
    <t>250# Flanged</t>
  </si>
  <si>
    <t>M6700224</t>
  </si>
  <si>
    <t>M6700597</t>
  </si>
  <si>
    <t>M6735653</t>
  </si>
  <si>
    <t>M6700759</t>
  </si>
  <si>
    <t>M6701470</t>
  </si>
  <si>
    <t>M6718586</t>
  </si>
  <si>
    <t>M6721970</t>
  </si>
  <si>
    <t>M6701636</t>
  </si>
  <si>
    <t>M6745479</t>
  </si>
  <si>
    <t>M6718598</t>
  </si>
  <si>
    <t>M6702405</t>
  </si>
  <si>
    <t>M6732134</t>
  </si>
  <si>
    <t>M6713406</t>
  </si>
  <si>
    <t>M6703015</t>
  </si>
  <si>
    <t>M6711180</t>
  </si>
  <si>
    <t>M6717688</t>
  </si>
  <si>
    <t>M6703400</t>
  </si>
  <si>
    <t>M6754264</t>
  </si>
  <si>
    <t>M6750998</t>
  </si>
  <si>
    <t>M6703744</t>
  </si>
  <si>
    <t>M6738857</t>
  </si>
  <si>
    <t>M6713411</t>
  </si>
  <si>
    <t>M6704217</t>
  </si>
  <si>
    <t>M6733537</t>
  </si>
  <si>
    <t>M6712778</t>
  </si>
  <si>
    <t>M6704618</t>
  </si>
  <si>
    <t>M6747758</t>
  </si>
  <si>
    <t>M6705076</t>
  </si>
  <si>
    <t>M6705361</t>
  </si>
  <si>
    <t>M6705579</t>
  </si>
  <si>
    <t>M6733098</t>
  </si>
  <si>
    <t>M6733099</t>
  </si>
  <si>
    <t>Iron Body ASTM A126 Gr. B – Flanged Ends 250# - Imported</t>
  </si>
  <si>
    <t>752-N</t>
  </si>
  <si>
    <t>M6733087</t>
  </si>
  <si>
    <t>M6733088</t>
  </si>
  <si>
    <t>M6733089</t>
  </si>
  <si>
    <t>M6733090</t>
  </si>
  <si>
    <t>M6733091</t>
  </si>
  <si>
    <t>M6733092</t>
  </si>
  <si>
    <t>M6733093</t>
  </si>
  <si>
    <t>M6733094</t>
  </si>
  <si>
    <t>M6733095</t>
  </si>
  <si>
    <t>M6733096</t>
  </si>
  <si>
    <t>M6733097</t>
  </si>
  <si>
    <t>M6733109</t>
  </si>
  <si>
    <t>M6733100</t>
  </si>
  <si>
    <t>M6733110</t>
  </si>
  <si>
    <t xml:space="preserve">Model 752 &amp; 752-N </t>
  </si>
  <si>
    <t>M6723334</t>
  </si>
  <si>
    <t>M6724062</t>
  </si>
  <si>
    <t>M6705979</t>
  </si>
  <si>
    <t>M6725316</t>
  </si>
  <si>
    <t>M6705975</t>
  </si>
  <si>
    <t>M6706003</t>
  </si>
  <si>
    <t>M6711483</t>
  </si>
  <si>
    <t>M6712183</t>
  </si>
  <si>
    <t>M6710817</t>
  </si>
  <si>
    <t>M6712025</t>
  </si>
  <si>
    <t>M6713520</t>
  </si>
  <si>
    <t>M6711456</t>
  </si>
  <si>
    <t>M6712005</t>
  </si>
  <si>
    <t>M6712080</t>
  </si>
  <si>
    <t>M6713092</t>
  </si>
  <si>
    <t>M6715169</t>
  </si>
  <si>
    <t>M6715777</t>
  </si>
  <si>
    <t>M6716785</t>
  </si>
  <si>
    <t>M6713066</t>
  </si>
  <si>
    <t>M6718821</t>
  </si>
  <si>
    <t>M6712182</t>
  </si>
  <si>
    <t>M6712835</t>
  </si>
  <si>
    <t>M6710024</t>
  </si>
  <si>
    <t>M6713137</t>
  </si>
  <si>
    <t>M6717126</t>
  </si>
  <si>
    <t>M6713200</t>
  </si>
  <si>
    <t>M6756342</t>
  </si>
  <si>
    <t>M6758893</t>
  </si>
  <si>
    <t>M6732985</t>
  </si>
  <si>
    <t>M6732987</t>
  </si>
  <si>
    <t>M6714424</t>
  </si>
  <si>
    <t>M6745478</t>
  </si>
  <si>
    <t>M6714381</t>
  </si>
  <si>
    <t>M6733459</t>
  </si>
  <si>
    <t>M6711780</t>
  </si>
  <si>
    <t>M6733536</t>
  </si>
  <si>
    <t>M6721530</t>
  </si>
  <si>
    <t>M6719135</t>
  </si>
  <si>
    <t>M6728862</t>
  </si>
  <si>
    <t>M6722143</t>
  </si>
  <si>
    <t>M6744880</t>
  </si>
  <si>
    <t>M6715959</t>
  </si>
  <si>
    <t>M6718597</t>
  </si>
  <si>
    <t>M6712127</t>
  </si>
  <si>
    <t>M6741668</t>
  </si>
  <si>
    <t>M6711495</t>
  </si>
  <si>
    <t>M6722743</t>
  </si>
  <si>
    <t>Model 758G</t>
  </si>
  <si>
    <t>Class 125</t>
  </si>
  <si>
    <t>Ductile Iron A395 - Grooved Ends - Made in USA</t>
  </si>
  <si>
    <t>758G</t>
  </si>
  <si>
    <t>Grooved</t>
  </si>
  <si>
    <t>M6701472</t>
  </si>
  <si>
    <t>M6701638</t>
  </si>
  <si>
    <t>M6702407</t>
  </si>
  <si>
    <t>M6703017</t>
  </si>
  <si>
    <t>M6703402</t>
  </si>
  <si>
    <t>M6703746</t>
  </si>
  <si>
    <t>M6704219</t>
  </si>
  <si>
    <t>M6704620</t>
  </si>
  <si>
    <t>M6705078</t>
  </si>
  <si>
    <t>Model LF351</t>
  </si>
  <si>
    <t>Lead Free Bronze Body ASTM C87800MOD – Threaded - FNPT - Made in USA</t>
  </si>
  <si>
    <t>LF351</t>
  </si>
  <si>
    <t>M6745534</t>
  </si>
  <si>
    <t>M6745536</t>
  </si>
  <si>
    <t>M6745539</t>
  </si>
  <si>
    <t>M6744396</t>
  </si>
  <si>
    <t>M6745558</t>
  </si>
  <si>
    <t>M6745571</t>
  </si>
  <si>
    <t>M6745645</t>
  </si>
  <si>
    <t>M6744103</t>
  </si>
  <si>
    <t>M6745649</t>
  </si>
  <si>
    <t>M6745666</t>
  </si>
  <si>
    <t>M6745668</t>
  </si>
  <si>
    <t>M6745670</t>
  </si>
  <si>
    <t>M6745710</t>
  </si>
  <si>
    <t>M6745712</t>
  </si>
  <si>
    <t>M6745064</t>
  </si>
  <si>
    <t>M6743770</t>
  </si>
  <si>
    <t>M6745787</t>
  </si>
  <si>
    <t>M6747383</t>
  </si>
  <si>
    <t>M6745808</t>
  </si>
  <si>
    <t>M6744649</t>
  </si>
  <si>
    <t>M6745811</t>
  </si>
  <si>
    <t>M6746177</t>
  </si>
  <si>
    <t>M6746040</t>
  </si>
  <si>
    <t>M6744607</t>
  </si>
  <si>
    <t>1/16" Perf</t>
  </si>
  <si>
    <t>M6744676</t>
  </si>
  <si>
    <t>M6754384</t>
  </si>
  <si>
    <t>M6754387</t>
  </si>
  <si>
    <t>M6746283</t>
  </si>
  <si>
    <t>M6754450</t>
  </si>
  <si>
    <t>M6754407</t>
  </si>
  <si>
    <r>
      <rPr>
        <b/>
        <sz val="11"/>
        <color rgb="FF231F20"/>
        <rFont val="Arial"/>
        <family val="2"/>
      </rPr>
      <t>Model LF351</t>
    </r>
    <r>
      <rPr>
        <b/>
        <sz val="11"/>
        <rFont val="Arial"/>
        <family val="2"/>
      </rPr>
      <t>-N</t>
    </r>
  </si>
  <si>
    <t>Lead Free Bronze Body ASTM C87800MOD – Threaded - FNPT - Imported</t>
  </si>
  <si>
    <t>LF351-N</t>
  </si>
  <si>
    <t>M6742514</t>
  </si>
  <si>
    <t>M6742515</t>
  </si>
  <si>
    <t>M6742516</t>
  </si>
  <si>
    <t>M6742517</t>
  </si>
  <si>
    <t>M6742518</t>
  </si>
  <si>
    <t>M6742519</t>
  </si>
  <si>
    <t>M6742520</t>
  </si>
  <si>
    <t>M6742521</t>
  </si>
  <si>
    <t>M6742522</t>
  </si>
  <si>
    <t>M6742523</t>
  </si>
  <si>
    <t>M6734998</t>
  </si>
  <si>
    <t>M6723342</t>
  </si>
  <si>
    <t>20 Mesh Screen</t>
  </si>
  <si>
    <t>M6715218</t>
  </si>
  <si>
    <t>M6714551</t>
  </si>
  <si>
    <t>M6714771</t>
  </si>
  <si>
    <t>M6715223</t>
  </si>
  <si>
    <t>M6714772</t>
  </si>
  <si>
    <t>M6712525</t>
  </si>
  <si>
    <t>M6709521</t>
  </si>
  <si>
    <t>M6710254</t>
  </si>
  <si>
    <t>M6715037</t>
  </si>
  <si>
    <t>M6711504</t>
  </si>
  <si>
    <t>M6709726</t>
  </si>
  <si>
    <t>M6760731</t>
  </si>
  <si>
    <t>M6755501</t>
  </si>
  <si>
    <t>M6709924</t>
  </si>
  <si>
    <t>M6716501</t>
  </si>
  <si>
    <t>M6714315</t>
  </si>
  <si>
    <t>M6709598</t>
  </si>
  <si>
    <t>M6709648</t>
  </si>
  <si>
    <t>M6709731</t>
  </si>
  <si>
    <t>M6713380</t>
  </si>
  <si>
    <t>M6744431</t>
  </si>
  <si>
    <t>M6756766</t>
  </si>
  <si>
    <t>M6713518</t>
  </si>
  <si>
    <t>M6727899</t>
  </si>
  <si>
    <t>M6709599</t>
  </si>
  <si>
    <t>M6716711</t>
  </si>
  <si>
    <t>M6710858</t>
  </si>
  <si>
    <t>M6709932</t>
  </si>
  <si>
    <t>M6732466</t>
  </si>
  <si>
    <t>M6720559</t>
  </si>
  <si>
    <t>M6715251</t>
  </si>
  <si>
    <t>M6711543</t>
  </si>
  <si>
    <t>M6709522</t>
  </si>
  <si>
    <t>M6709785</t>
  </si>
  <si>
    <t>M6709836</t>
  </si>
  <si>
    <t>M6709523</t>
  </si>
  <si>
    <t>M6714036</t>
  </si>
  <si>
    <t>M6712847</t>
  </si>
  <si>
    <t>Model LF352</t>
  </si>
  <si>
    <t>LF352</t>
  </si>
  <si>
    <t>M6744161</t>
  </si>
  <si>
    <t>M6746402</t>
  </si>
  <si>
    <t>M6746404</t>
  </si>
  <si>
    <t>M6732313</t>
  </si>
  <si>
    <t>M6745051</t>
  </si>
  <si>
    <t>M6746864</t>
  </si>
  <si>
    <t>M6732314</t>
  </si>
  <si>
    <t>M6746129</t>
  </si>
  <si>
    <t>M6744810</t>
  </si>
  <si>
    <t>M6732315</t>
  </si>
  <si>
    <t>M6745052</t>
  </si>
  <si>
    <t>M6744950</t>
  </si>
  <si>
    <t>M6732316</t>
  </si>
  <si>
    <t>M6751719</t>
  </si>
  <si>
    <t>M6751689</t>
  </si>
  <si>
    <t>M6745053</t>
  </si>
  <si>
    <t>M6746769</t>
  </si>
  <si>
    <t>M6751767</t>
  </si>
  <si>
    <t>M6744788</t>
  </si>
  <si>
    <t>M6744707</t>
  </si>
  <si>
    <t>M6742547</t>
  </si>
  <si>
    <t>M6751768</t>
  </si>
  <si>
    <t>M6748110</t>
  </si>
  <si>
    <t>M6732320</t>
  </si>
  <si>
    <t>M6751771</t>
  </si>
  <si>
    <t>M6751773</t>
  </si>
  <si>
    <t>LF352-N</t>
  </si>
  <si>
    <t>M6746405</t>
  </si>
  <si>
    <t>M6742540</t>
  </si>
  <si>
    <t>M6742542</t>
  </si>
  <si>
    <t>M6742543</t>
  </si>
  <si>
    <t>M6742544</t>
  </si>
  <si>
    <t>M6742545</t>
  </si>
  <si>
    <t>M6742546</t>
  </si>
  <si>
    <t>M6742571</t>
  </si>
  <si>
    <t>LF352 and LF352-N</t>
  </si>
  <si>
    <t>Model LF358</t>
  </si>
  <si>
    <t>Lead Free Bronze Body ASTM C87800MOD – Solder - Made in USA</t>
  </si>
  <si>
    <t>LF358</t>
  </si>
  <si>
    <t>Solder</t>
  </si>
  <si>
    <t>304SS</t>
  </si>
  <si>
    <t>M6732321</t>
  </si>
  <si>
    <t>M6745590</t>
  </si>
  <si>
    <t>M6745593</t>
  </si>
  <si>
    <t>M6732322</t>
  </si>
  <si>
    <t>M6745614</t>
  </si>
  <si>
    <t>M6745617</t>
  </si>
  <si>
    <t>M6732323</t>
  </si>
  <si>
    <t>M6745691</t>
  </si>
  <si>
    <t>M6745694</t>
  </si>
  <si>
    <t>M6732324</t>
  </si>
  <si>
    <t>M6745732</t>
  </si>
  <si>
    <t>M6745735</t>
  </si>
  <si>
    <t>M6732325</t>
  </si>
  <si>
    <t>M6745761</t>
  </si>
  <si>
    <t>M6745764</t>
  </si>
  <si>
    <t>M6732326</t>
  </si>
  <si>
    <t>M6748745</t>
  </si>
  <si>
    <t>M6751797</t>
  </si>
  <si>
    <t>M6743774</t>
  </si>
  <si>
    <t>M6754442</t>
  </si>
  <si>
    <t>M6754444</t>
  </si>
  <si>
    <t>M6743907</t>
  </si>
  <si>
    <t>M6754524</t>
  </si>
  <si>
    <t>M6754527</t>
  </si>
  <si>
    <t>Lead Free Bronze Body ASTM C87800MOD – Solder - Imported</t>
  </si>
  <si>
    <t>LF358-N</t>
  </si>
  <si>
    <t>M6742636</t>
  </si>
  <si>
    <t>M6742637</t>
  </si>
  <si>
    <t>M6742638</t>
  </si>
  <si>
    <t>M6742639</t>
  </si>
  <si>
    <t>M6742640</t>
  </si>
  <si>
    <t>M6742641</t>
  </si>
  <si>
    <t>M6742642</t>
  </si>
  <si>
    <t>M6742643</t>
  </si>
  <si>
    <t>LF358 and LF358-N</t>
  </si>
  <si>
    <t>Class 150</t>
  </si>
  <si>
    <t>1/8" Perf</t>
  </si>
  <si>
    <t>Model 581CS</t>
  </si>
  <si>
    <t>Class 600</t>
  </si>
  <si>
    <t>Cast Steel ASTM WCB – Threaded - FNPT - Made in USA</t>
  </si>
  <si>
    <t>581CS</t>
  </si>
  <si>
    <t>M6700109</t>
  </si>
  <si>
    <t>M6752357</t>
  </si>
  <si>
    <t>M6714590</t>
  </si>
  <si>
    <t>M6700131</t>
  </si>
  <si>
    <t>M6718669</t>
  </si>
  <si>
    <t>M6752378</t>
  </si>
  <si>
    <t>M6700164</t>
  </si>
  <si>
    <t>M6709603</t>
  </si>
  <si>
    <t>M6709605</t>
  </si>
  <si>
    <t>M6700220</t>
  </si>
  <si>
    <t>M6709654</t>
  </si>
  <si>
    <t>M6709655</t>
  </si>
  <si>
    <t>M6700592</t>
  </si>
  <si>
    <t>M6750642</t>
  </si>
  <si>
    <t>M6709752</t>
  </si>
  <si>
    <t>M6700670</t>
  </si>
  <si>
    <t>M6712276</t>
  </si>
  <si>
    <t>M6711130</t>
  </si>
  <si>
    <t>M6700754</t>
  </si>
  <si>
    <t>M6709847</t>
  </si>
  <si>
    <t>M6709848</t>
  </si>
  <si>
    <t>M6701410</t>
  </si>
  <si>
    <t>M6709953</t>
  </si>
  <si>
    <t>M6709955</t>
  </si>
  <si>
    <t>Model 581CS-N</t>
  </si>
  <si>
    <t>Cast Steel ASTM WCB – Threaded - FNPT - Imported</t>
  </si>
  <si>
    <t>581CS-N</t>
  </si>
  <si>
    <t>M6700110</t>
  </si>
  <si>
    <t>M6700132</t>
  </si>
  <si>
    <t>M6726964</t>
  </si>
  <si>
    <t>M6726967</t>
  </si>
  <si>
    <t>M6727131</t>
  </si>
  <si>
    <t>M6726148</t>
  </si>
  <si>
    <t>M6727230</t>
  </si>
  <si>
    <t>M6743621</t>
  </si>
  <si>
    <t>M6743622</t>
  </si>
  <si>
    <t>M6722644</t>
  </si>
  <si>
    <t>M6722715</t>
  </si>
  <si>
    <t>M6722813</t>
  </si>
  <si>
    <t>M6723190</t>
  </si>
  <si>
    <t>M6734856</t>
  </si>
  <si>
    <t>M6710230</t>
  </si>
  <si>
    <t>M6734860</t>
  </si>
  <si>
    <t>M6711240</t>
  </si>
  <si>
    <t>M6721419</t>
  </si>
  <si>
    <t>M6709727</t>
  </si>
  <si>
    <t>M6710240</t>
  </si>
  <si>
    <t>M6709833</t>
  </si>
  <si>
    <t>M6709925</t>
  </si>
  <si>
    <t>M6718737</t>
  </si>
  <si>
    <t>M6709649</t>
  </si>
  <si>
    <t>M6709732</t>
  </si>
  <si>
    <t>M6712887</t>
  </si>
  <si>
    <t>M6712195</t>
  </si>
  <si>
    <t>M6709930</t>
  </si>
  <si>
    <t>M6710927</t>
  </si>
  <si>
    <t>M6710243</t>
  </si>
  <si>
    <t>M6710241</t>
  </si>
  <si>
    <t>M6710244</t>
  </si>
  <si>
    <t>M6710245</t>
  </si>
  <si>
    <t>M6711238</t>
  </si>
  <si>
    <t>M6710608</t>
  </si>
  <si>
    <t>M6709737</t>
  </si>
  <si>
    <t>M6709786</t>
  </si>
  <si>
    <t>M6709837</t>
  </si>
  <si>
    <t>M6709936</t>
  </si>
  <si>
    <t>Steel Blowoff Plug</t>
  </si>
  <si>
    <t>Model 582CS</t>
  </si>
  <si>
    <t>Cast Steel ASTM WCB – Socket Weld - Made in USA</t>
  </si>
  <si>
    <t>582CS</t>
  </si>
  <si>
    <t>Socket Weld</t>
  </si>
  <si>
    <t>M6700166</t>
  </si>
  <si>
    <t>M6709613</t>
  </si>
  <si>
    <t>M6709614</t>
  </si>
  <si>
    <t>M6700222</t>
  </si>
  <si>
    <t>M6712393</t>
  </si>
  <si>
    <t>M6709665</t>
  </si>
  <si>
    <t>M6700594</t>
  </si>
  <si>
    <t>M6709761</t>
  </si>
  <si>
    <t>M6709762</t>
  </si>
  <si>
    <t>M6700672</t>
  </si>
  <si>
    <t>M6739646</t>
  </si>
  <si>
    <t>M6715368</t>
  </si>
  <si>
    <t>M6700757</t>
  </si>
  <si>
    <t>M6709852</t>
  </si>
  <si>
    <t>M6735236</t>
  </si>
  <si>
    <t>M6701412</t>
  </si>
  <si>
    <t>M6709961</t>
  </si>
  <si>
    <t>M6709962</t>
  </si>
  <si>
    <t>Model 582CS-N</t>
  </si>
  <si>
    <t>Cast Steel ASTM WCB – Socket Weld - Imported</t>
  </si>
  <si>
    <t>582CS-N</t>
  </si>
  <si>
    <t>M6726414</t>
  </si>
  <si>
    <t>M6726141</t>
  </si>
  <si>
    <t>M6726142</t>
  </si>
  <si>
    <t>M6726436</t>
  </si>
  <si>
    <t>M6727144</t>
  </si>
  <si>
    <t>M6726143</t>
  </si>
  <si>
    <t>Cast Steel ASTM WCB – Threaded FNPT - Sourced &amp; Manufactured in USA</t>
  </si>
  <si>
    <t>861CS</t>
  </si>
  <si>
    <t>M6700114</t>
  </si>
  <si>
    <t>M6700135</t>
  </si>
  <si>
    <t>M6700173</t>
  </si>
  <si>
    <t>M6700237</t>
  </si>
  <si>
    <t>M6700619</t>
  </si>
  <si>
    <t>M6700686</t>
  </si>
  <si>
    <t>M6700778</t>
  </si>
  <si>
    <t>M6701515</t>
  </si>
  <si>
    <t>Cast Steel ASTM WCB – Socket Weld - Sourced &amp; Manufactured in USA</t>
  </si>
  <si>
    <t>862CS</t>
  </si>
  <si>
    <t>0.033" Perf</t>
  </si>
  <si>
    <t>M6744272</t>
  </si>
  <si>
    <t>M6733277</t>
  </si>
  <si>
    <t>M6700178</t>
  </si>
  <si>
    <t>M6700242</t>
  </si>
  <si>
    <t>M6700624</t>
  </si>
  <si>
    <t>M6700690</t>
  </si>
  <si>
    <t>M6700783</t>
  </si>
  <si>
    <t>M6701519</t>
  </si>
  <si>
    <t>M6722323</t>
  </si>
  <si>
    <t>M6722489</t>
  </si>
  <si>
    <t>M6722758</t>
  </si>
  <si>
    <t>M6722831</t>
  </si>
  <si>
    <t>M6723278</t>
  </si>
  <si>
    <t>M6716976</t>
  </si>
  <si>
    <t>M6713666</t>
  </si>
  <si>
    <t>M6712140</t>
  </si>
  <si>
    <t>M6710234</t>
  </si>
  <si>
    <t>M6710235</t>
  </si>
  <si>
    <t>M6710236</t>
  </si>
  <si>
    <t>M6710237</t>
  </si>
  <si>
    <t>M6709568</t>
  </si>
  <si>
    <t>M6711649</t>
  </si>
  <si>
    <t>M6714440</t>
  </si>
  <si>
    <t>M6709729</t>
  </si>
  <si>
    <t>M6716722</t>
  </si>
  <si>
    <t>M6711886</t>
  </si>
  <si>
    <t>M6711539</t>
  </si>
  <si>
    <t>M6739109</t>
  </si>
  <si>
    <t>M6711309</t>
  </si>
  <si>
    <t>M6712976</t>
  </si>
  <si>
    <t>M6710556</t>
  </si>
  <si>
    <t>M6716721</t>
  </si>
  <si>
    <t>M6711261</t>
  </si>
  <si>
    <t>M6733355</t>
  </si>
  <si>
    <t>M6714665</t>
  </si>
  <si>
    <t>M6711369</t>
  </si>
  <si>
    <t>M6714432</t>
  </si>
  <si>
    <t>M6728027</t>
  </si>
  <si>
    <t>M6711015</t>
  </si>
  <si>
    <t>M6711403</t>
  </si>
  <si>
    <t>M6709739</t>
  </si>
  <si>
    <t>M6710246</t>
  </si>
  <si>
    <t>M6709939</t>
  </si>
  <si>
    <t>Class 1500</t>
  </si>
  <si>
    <t>Cast Steel ASTM WCB – Threaded - Sourced &amp; Manufactured in USA</t>
  </si>
  <si>
    <t>863M</t>
  </si>
  <si>
    <t>M6700184</t>
  </si>
  <si>
    <t>M6700248</t>
  </si>
  <si>
    <t>M6700631</t>
  </si>
  <si>
    <t>M6700692</t>
  </si>
  <si>
    <t>M6700788</t>
  </si>
  <si>
    <t>M6701523</t>
  </si>
  <si>
    <t>864M</t>
  </si>
  <si>
    <t>M6700186</t>
  </si>
  <si>
    <t>M6700249</t>
  </si>
  <si>
    <t>M6700633</t>
  </si>
  <si>
    <t>M6740457</t>
  </si>
  <si>
    <t>M6700789</t>
  </si>
  <si>
    <t>M6701524</t>
  </si>
  <si>
    <t>Model 863M and 864M</t>
  </si>
  <si>
    <t>M6722390</t>
  </si>
  <si>
    <t>M6722490</t>
  </si>
  <si>
    <t>M6743623</t>
  </si>
  <si>
    <t>M6722736</t>
  </si>
  <si>
    <t>M6723244</t>
  </si>
  <si>
    <t>M6713429</t>
  </si>
  <si>
    <t>M6712032</t>
  </si>
  <si>
    <t>M6713155</t>
  </si>
  <si>
    <t>M6722763</t>
  </si>
  <si>
    <t>M6714495</t>
  </si>
  <si>
    <t>M6711784</t>
  </si>
  <si>
    <t>M6726105</t>
  </si>
  <si>
    <t>M6722331</t>
  </si>
  <si>
    <t>M6722691</t>
  </si>
  <si>
    <t>M6722479</t>
  </si>
  <si>
    <t>Carbon Steel Body - ASTM WCB – Flanged Ends 150# - Made in USA</t>
  </si>
  <si>
    <t>781CS</t>
  </si>
  <si>
    <t>150# Flanged</t>
  </si>
  <si>
    <t>M6707456</t>
  </si>
  <si>
    <t>M6718683</t>
  </si>
  <si>
    <t>M6719940</t>
  </si>
  <si>
    <t>M6707457</t>
  </si>
  <si>
    <t>M6714172</t>
  </si>
  <si>
    <t>M6713976</t>
  </si>
  <si>
    <t>M6707458</t>
  </si>
  <si>
    <t>M6711426</t>
  </si>
  <si>
    <t>M6710711</t>
  </si>
  <si>
    <t>M6707459</t>
  </si>
  <si>
    <t>M6707455</t>
  </si>
  <si>
    <t>M6712555</t>
  </si>
  <si>
    <t>M6716230</t>
  </si>
  <si>
    <t>M6701495</t>
  </si>
  <si>
    <t>M6709984</t>
  </si>
  <si>
    <t>M6709985</t>
  </si>
  <si>
    <t>M6701644</t>
  </si>
  <si>
    <t>M6712551</t>
  </si>
  <si>
    <t>M6711726</t>
  </si>
  <si>
    <t>M6702428</t>
  </si>
  <si>
    <t>M6715264</t>
  </si>
  <si>
    <t>M6729718</t>
  </si>
  <si>
    <t>M6703033</t>
  </si>
  <si>
    <t>M6710121</t>
  </si>
  <si>
    <t>M6710122</t>
  </si>
  <si>
    <t>M6703404</t>
  </si>
  <si>
    <t>M6752205</t>
  </si>
  <si>
    <t>M6752208</t>
  </si>
  <si>
    <t>M6703754</t>
  </si>
  <si>
    <t>M6710152</t>
  </si>
  <si>
    <t>M6710153</t>
  </si>
  <si>
    <t>M6704226</t>
  </si>
  <si>
    <t>M6711074</t>
  </si>
  <si>
    <t>M6704622</t>
  </si>
  <si>
    <t>M6738114</t>
  </si>
  <si>
    <t>M6737979</t>
  </si>
  <si>
    <t>M6705079</t>
  </si>
  <si>
    <t>M6748090</t>
  </si>
  <si>
    <t>M6734266</t>
  </si>
  <si>
    <t>M6705363</t>
  </si>
  <si>
    <t>M6705582</t>
  </si>
  <si>
    <t>M6736178</t>
  </si>
  <si>
    <t>M6730343</t>
  </si>
  <si>
    <r>
      <rPr>
        <b/>
        <sz val="11"/>
        <color rgb="FF231F20"/>
        <rFont val="Arial"/>
        <family val="2"/>
      </rPr>
      <t>Model 781CS</t>
    </r>
    <r>
      <rPr>
        <b/>
        <sz val="11"/>
        <rFont val="Arial"/>
        <family val="2"/>
      </rPr>
      <t>-N</t>
    </r>
  </si>
  <si>
    <t>Carbon Steel Body - ASTM WCB – Flanged Ends 150# - Imported</t>
  </si>
  <si>
    <t>781CS-N</t>
  </si>
  <si>
    <t>M6755562</t>
  </si>
  <si>
    <t>M6760974</t>
  </si>
  <si>
    <t>M6726137</t>
  </si>
  <si>
    <t>M6727783</t>
  </si>
  <si>
    <t>M6726125</t>
  </si>
  <si>
    <t>M6726144</t>
  </si>
  <si>
    <t>M6726128</t>
  </si>
  <si>
    <t>M6727785</t>
  </si>
  <si>
    <t>M6729511</t>
  </si>
  <si>
    <t>M6736447</t>
  </si>
  <si>
    <t>Model 781CS-WE</t>
  </si>
  <si>
    <t>Carbon Steel Body - ASTM WCB – Butt Weld - Made in USA</t>
  </si>
  <si>
    <t>781CS-WE</t>
  </si>
  <si>
    <t>Butt Weld</t>
  </si>
  <si>
    <t>M6750079</t>
  </si>
  <si>
    <t>M6707465</t>
  </si>
  <si>
    <t>M6735387</t>
  </si>
  <si>
    <t>M6727672</t>
  </si>
  <si>
    <t>M6701496</t>
  </si>
  <si>
    <t>M6733126</t>
  </si>
  <si>
    <t>M6730904</t>
  </si>
  <si>
    <t>M6701645</t>
  </si>
  <si>
    <t>M6740771</t>
  </si>
  <si>
    <t>M6702429</t>
  </si>
  <si>
    <t>M6721961</t>
  </si>
  <si>
    <t>M6735533</t>
  </si>
  <si>
    <t>M6703034</t>
  </si>
  <si>
    <t>M6736207</t>
  </si>
  <si>
    <t>M6703755</t>
  </si>
  <si>
    <t>M6732695</t>
  </si>
  <si>
    <t>M6732694</t>
  </si>
  <si>
    <t>M6704227</t>
  </si>
  <si>
    <t>M6721962</t>
  </si>
  <si>
    <t>M6704623</t>
  </si>
  <si>
    <t>M6721966</t>
  </si>
  <si>
    <t>M6727577</t>
  </si>
  <si>
    <t>Model 781CS, 781CS-N &amp; 781CS-WE</t>
  </si>
  <si>
    <t>M6722385</t>
  </si>
  <si>
    <t>M6704957</t>
  </si>
  <si>
    <t>M6716175</t>
  </si>
  <si>
    <t>M6712739</t>
  </si>
  <si>
    <t>M6711630</t>
  </si>
  <si>
    <t>M6710759</t>
  </si>
  <si>
    <t>M6734721</t>
  </si>
  <si>
    <t>M6710399</t>
  </si>
  <si>
    <t>Steel Blowoff Plugs</t>
  </si>
  <si>
    <t>Model 782</t>
  </si>
  <si>
    <t>Carbon Steel Body - ASTM WCB – Flanged Ends 300# - Made in USA</t>
  </si>
  <si>
    <t>782CS</t>
  </si>
  <si>
    <t>300# Flanged</t>
  </si>
  <si>
    <t>M6727673</t>
  </si>
  <si>
    <t>M6739081</t>
  </si>
  <si>
    <t>M6707470</t>
  </si>
  <si>
    <t>M6732029</t>
  </si>
  <si>
    <t>M6728048</t>
  </si>
  <si>
    <t>M6707471</t>
  </si>
  <si>
    <t>M6713693</t>
  </si>
  <si>
    <t>M6714594</t>
  </si>
  <si>
    <t>M6707472</t>
  </si>
  <si>
    <t>M6741610</t>
  </si>
  <si>
    <t>M6707473</t>
  </si>
  <si>
    <t>M6713776</t>
  </si>
  <si>
    <t>M6714263</t>
  </si>
  <si>
    <t>M6701499</t>
  </si>
  <si>
    <t>M6709989</t>
  </si>
  <si>
    <t>M6709990</t>
  </si>
  <si>
    <t>M6701648</t>
  </si>
  <si>
    <t>M6720764</t>
  </si>
  <si>
    <t>M6733828</t>
  </si>
  <si>
    <t>M6702432</t>
  </si>
  <si>
    <t>M6710074</t>
  </si>
  <si>
    <t>M6710075</t>
  </si>
  <si>
    <t>M6703037</t>
  </si>
  <si>
    <t>M6713101</t>
  </si>
  <si>
    <t>M6713387</t>
  </si>
  <si>
    <t>M6703406</t>
  </si>
  <si>
    <t>M6720637</t>
  </si>
  <si>
    <t>M6752680</t>
  </si>
  <si>
    <t>M6703758</t>
  </si>
  <si>
    <t>M6714545</t>
  </si>
  <si>
    <t>M6715284</t>
  </si>
  <si>
    <t>M6704229</t>
  </si>
  <si>
    <t>M6721310</t>
  </si>
  <si>
    <t>M6712377</t>
  </si>
  <si>
    <t>M6704625</t>
  </si>
  <si>
    <t>M6734349</t>
  </si>
  <si>
    <t>M6705081</t>
  </si>
  <si>
    <t>M6705364</t>
  </si>
  <si>
    <t>M6705583</t>
  </si>
  <si>
    <t>M6705766</t>
  </si>
  <si>
    <t>782CS-N</t>
  </si>
  <si>
    <t>M6727788</t>
  </si>
  <si>
    <t>M6727789</t>
  </si>
  <si>
    <t>M6726274</t>
  </si>
  <si>
    <t>M6726222</t>
  </si>
  <si>
    <t>M6727790</t>
  </si>
  <si>
    <t>M6727791</t>
  </si>
  <si>
    <t>M6736448</t>
  </si>
  <si>
    <t>M6729519</t>
  </si>
  <si>
    <t>Model 782CS-WE</t>
  </si>
  <si>
    <t>782CS-WE</t>
  </si>
  <si>
    <t>M6730585</t>
  </si>
  <si>
    <t>M6730586</t>
  </si>
  <si>
    <t>M6754964</t>
  </si>
  <si>
    <t>M6727674</t>
  </si>
  <si>
    <t>M6701500</t>
  </si>
  <si>
    <t>M6729552</t>
  </si>
  <si>
    <t>M6714416</t>
  </si>
  <si>
    <t>M6701649</t>
  </si>
  <si>
    <t>M6702433</t>
  </si>
  <si>
    <t>M6735739</t>
  </si>
  <si>
    <t>M6715613</t>
  </si>
  <si>
    <t>M6703038</t>
  </si>
  <si>
    <t>M6711158</t>
  </si>
  <si>
    <t>M6713067</t>
  </si>
  <si>
    <t>M6703759</t>
  </si>
  <si>
    <t>M6712740</t>
  </si>
  <si>
    <t>M6710568</t>
  </si>
  <si>
    <t>M6705082</t>
  </si>
  <si>
    <t>Model 782CS, 782CS-N &amp; 782CS-WE</t>
  </si>
  <si>
    <t>M6723238</t>
  </si>
  <si>
    <t>M6723349</t>
  </si>
  <si>
    <t>M6724137</t>
  </si>
  <si>
    <t>M6724396</t>
  </si>
  <si>
    <t>M6724878</t>
  </si>
  <si>
    <t>M6725137</t>
  </si>
  <si>
    <t>M6707131</t>
  </si>
  <si>
    <t>M6707200</t>
  </si>
  <si>
    <t>M6707201</t>
  </si>
  <si>
    <t>M6707202</t>
  </si>
  <si>
    <t>M6707203</t>
  </si>
  <si>
    <t>M6720954</t>
  </si>
  <si>
    <t>Carbon Steel Body - ASTM WCB – Flanged Ends 600# - Made in USA</t>
  </si>
  <si>
    <t>600# Flanged</t>
  </si>
  <si>
    <t>M6700171</t>
  </si>
  <si>
    <t>M6730996</t>
  </si>
  <si>
    <t>M6700229</t>
  </si>
  <si>
    <t>M6746862</t>
  </si>
  <si>
    <t>M6700602</t>
  </si>
  <si>
    <t>M6715751</t>
  </si>
  <si>
    <t>M6736952</t>
  </si>
  <si>
    <t>M6700677</t>
  </si>
  <si>
    <t>M6700766</t>
  </si>
  <si>
    <t>M6711812</t>
  </si>
  <si>
    <t>M6701482</t>
  </si>
  <si>
    <t>M6709978</t>
  </si>
  <si>
    <t>M6701641</t>
  </si>
  <si>
    <t>M6740461</t>
  </si>
  <si>
    <t>M6702415</t>
  </si>
  <si>
    <t>M6710064</t>
  </si>
  <si>
    <t>M6713400</t>
  </si>
  <si>
    <t>M6703024</t>
  </si>
  <si>
    <t>M6710747</t>
  </si>
  <si>
    <t>M6703752</t>
  </si>
  <si>
    <t>M6717686</t>
  </si>
  <si>
    <t>M6713509</t>
  </si>
  <si>
    <t>M6755143</t>
  </si>
  <si>
    <t>M6704222</t>
  </si>
  <si>
    <t>Model 581SS</t>
  </si>
  <si>
    <t>Stainless Steel - ASTM A351 CF8M – Threaded - FNPT - Made in USA</t>
  </si>
  <si>
    <t>581SS</t>
  </si>
  <si>
    <t>M6700111</t>
  </si>
  <si>
    <t>M6714083</t>
  </si>
  <si>
    <t>M6710767</t>
  </si>
  <si>
    <t>M6700133</t>
  </si>
  <si>
    <t>M6713446</t>
  </si>
  <si>
    <t>M6719585</t>
  </si>
  <si>
    <t>M6700165</t>
  </si>
  <si>
    <t>M6709608</t>
  </si>
  <si>
    <t>M6709610</t>
  </si>
  <si>
    <t>M6700221</t>
  </si>
  <si>
    <t>M6709659</t>
  </si>
  <si>
    <t>M6709662</t>
  </si>
  <si>
    <t>M6700593</t>
  </si>
  <si>
    <t>M6709756</t>
  </si>
  <si>
    <t>M6712155</t>
  </si>
  <si>
    <t>M6700671</t>
  </si>
  <si>
    <t>M6727974</t>
  </si>
  <si>
    <t>M6709788</t>
  </si>
  <si>
    <t>M6700765</t>
  </si>
  <si>
    <t>M6711847</t>
  </si>
  <si>
    <t>M6709849</t>
  </si>
  <si>
    <t>M6701141</t>
  </si>
  <si>
    <t>M6710613</t>
  </si>
  <si>
    <t>M6711968</t>
  </si>
  <si>
    <t>Model 581SS-N</t>
  </si>
  <si>
    <t>Stainless Steel ASTM A351 CF8M – Threaded - FNPT - Imported</t>
  </si>
  <si>
    <t>581SS-N</t>
  </si>
  <si>
    <t>M6715007</t>
  </si>
  <si>
    <t>M6709361</t>
  </si>
  <si>
    <t>M6725616</t>
  </si>
  <si>
    <t>M6726968</t>
  </si>
  <si>
    <t>M6726183</t>
  </si>
  <si>
    <t>M6727137</t>
  </si>
  <si>
    <t>M6727143</t>
  </si>
  <si>
    <t>M6727231</t>
  </si>
  <si>
    <t>M6701411</t>
  </si>
  <si>
    <t>Model 582SS</t>
  </si>
  <si>
    <t>Stainless Steel ASTM A351 CF8M – Socket Weld - Made in USA</t>
  </si>
  <si>
    <t>582SS</t>
  </si>
  <si>
    <t>M6700113</t>
  </si>
  <si>
    <t>M6754154</t>
  </si>
  <si>
    <t>M6754157</t>
  </si>
  <si>
    <t>M6735421</t>
  </si>
  <si>
    <t>M6753236</t>
  </si>
  <si>
    <t>M6753239</t>
  </si>
  <si>
    <t>M6700167</t>
  </si>
  <si>
    <t>M6709617</t>
  </si>
  <si>
    <t>M6709618</t>
  </si>
  <si>
    <t>M6700223</t>
  </si>
  <si>
    <t>M6712444</t>
  </si>
  <si>
    <t>M6710607</t>
  </si>
  <si>
    <t>M6700595</t>
  </si>
  <si>
    <t>M6714288</t>
  </si>
  <si>
    <t>M6709765</t>
  </si>
  <si>
    <t>M6700673</t>
  </si>
  <si>
    <t>M6753270</t>
  </si>
  <si>
    <t>M6735417</t>
  </si>
  <si>
    <t>M6700758</t>
  </si>
  <si>
    <t>M6753285</t>
  </si>
  <si>
    <t>M6712300</t>
  </si>
  <si>
    <t>M6701413</t>
  </si>
  <si>
    <t>M6730003</t>
  </si>
  <si>
    <t>M6732741</t>
  </si>
  <si>
    <t>Model 582SS-N</t>
  </si>
  <si>
    <t>Stainless Steel A351 CF8M – Socket Weld - Imported</t>
  </si>
  <si>
    <t>582SS-N</t>
  </si>
  <si>
    <t>M6754158</t>
  </si>
  <si>
    <t>M6753240</t>
  </si>
  <si>
    <t>M6726965</t>
  </si>
  <si>
    <t>M6726969</t>
  </si>
  <si>
    <t>M6727132</t>
  </si>
  <si>
    <t>M6727138</t>
  </si>
  <si>
    <t>M6727145</t>
  </si>
  <si>
    <t>M6727232</t>
  </si>
  <si>
    <t>Stainless Steel A351 CF8M – Threaded FNPT - Sourced &amp; Manufactured in USA</t>
  </si>
  <si>
    <t>861SS</t>
  </si>
  <si>
    <t>M6700115</t>
  </si>
  <si>
    <t>M6700136</t>
  </si>
  <si>
    <t>M6700175</t>
  </si>
  <si>
    <t>M6700239</t>
  </si>
  <si>
    <t>M6700621</t>
  </si>
  <si>
    <t>M6700688</t>
  </si>
  <si>
    <t>M6700780</t>
  </si>
  <si>
    <t>M6701517</t>
  </si>
  <si>
    <t>Stainless Steel A351 CF8M – Socket Weld - Sourced &amp; Manufactured in USA</t>
  </si>
  <si>
    <t>862SS</t>
  </si>
  <si>
    <t>M6700180</t>
  </si>
  <si>
    <t>M6700244</t>
  </si>
  <si>
    <t>M6700626</t>
  </si>
  <si>
    <t>M6727139</t>
  </si>
  <si>
    <t>M6700786</t>
  </si>
  <si>
    <t>M6701521</t>
  </si>
  <si>
    <t>Stainless Steel Body - ASTM A351 CF8M - Flanged Ends - 150# - Made in USA</t>
  </si>
  <si>
    <t>781SS</t>
  </si>
  <si>
    <t>1/2</t>
  </si>
  <si>
    <t>M6707460</t>
  </si>
  <si>
    <t>M6727984</t>
  </si>
  <si>
    <t>M6729468</t>
  </si>
  <si>
    <t>M6707461</t>
  </si>
  <si>
    <t>M6714278</t>
  </si>
  <si>
    <t>M6730910</t>
  </si>
  <si>
    <t>1</t>
  </si>
  <si>
    <t>M6707462</t>
  </si>
  <si>
    <t>M6712705</t>
  </si>
  <si>
    <t>M6714360</t>
  </si>
  <si>
    <t>M6707463</t>
  </si>
  <si>
    <t>M6719082</t>
  </si>
  <si>
    <t>M6707464</t>
  </si>
  <si>
    <t>M6713894</t>
  </si>
  <si>
    <t>M6713340</t>
  </si>
  <si>
    <t>2</t>
  </si>
  <si>
    <t>M6701497</t>
  </si>
  <si>
    <t>M6710743</t>
  </si>
  <si>
    <t>M6715173</t>
  </si>
  <si>
    <t>M6701646</t>
  </si>
  <si>
    <t>M6716427</t>
  </si>
  <si>
    <t>M6741762</t>
  </si>
  <si>
    <t>3</t>
  </si>
  <si>
    <t>M6702430</t>
  </si>
  <si>
    <t>M6713688</t>
  </si>
  <si>
    <t>M6715196</t>
  </si>
  <si>
    <t>4</t>
  </si>
  <si>
    <t>M6703035</t>
  </si>
  <si>
    <t>M6715460</t>
  </si>
  <si>
    <t>M6728915</t>
  </si>
  <si>
    <t>5</t>
  </si>
  <si>
    <t>M6703405</t>
  </si>
  <si>
    <t>M6752719</t>
  </si>
  <si>
    <t>M6733069</t>
  </si>
  <si>
    <t>6</t>
  </si>
  <si>
    <t>M6703756</t>
  </si>
  <si>
    <t>M6718684</t>
  </si>
  <si>
    <t>M6721130</t>
  </si>
  <si>
    <t>8</t>
  </si>
  <si>
    <t>M6704228</t>
  </si>
  <si>
    <t>M6760568</t>
  </si>
  <si>
    <t>M6728699</t>
  </si>
  <si>
    <t>10</t>
  </si>
  <si>
    <t>M6704624</t>
  </si>
  <si>
    <t>M6755940</t>
  </si>
  <si>
    <t>M6721604</t>
  </si>
  <si>
    <t>12</t>
  </si>
  <si>
    <t>M6705080</t>
  </si>
  <si>
    <t>14</t>
  </si>
  <si>
    <t>M6761274</t>
  </si>
  <si>
    <t>16</t>
  </si>
  <si>
    <t>M6763165</t>
  </si>
  <si>
    <t>18</t>
  </si>
  <si>
    <t>20</t>
  </si>
  <si>
    <t>24</t>
  </si>
  <si>
    <t>Stainless Steel Body - ASTM A351 CF8M - Butt Weld Ends - 150#</t>
  </si>
  <si>
    <t>150# Butt Weld</t>
  </si>
  <si>
    <t>M6732269</t>
  </si>
  <si>
    <t>M6732328</t>
  </si>
  <si>
    <t>M6746654</t>
  </si>
  <si>
    <t>M6707468</t>
  </si>
  <si>
    <t>M6733268</t>
  </si>
  <si>
    <t>M6743526</t>
  </si>
  <si>
    <t>M6732511</t>
  </si>
  <si>
    <t>M6707469</t>
  </si>
  <si>
    <t>M6719448</t>
  </si>
  <si>
    <t>M6740076</t>
  </si>
  <si>
    <t>M6701498</t>
  </si>
  <si>
    <t>M6701647</t>
  </si>
  <si>
    <t>M6702431</t>
  </si>
  <si>
    <t>M6737147</t>
  </si>
  <si>
    <t>M6703036</t>
  </si>
  <si>
    <t>M6758842</t>
  </si>
  <si>
    <t>M6707972</t>
  </si>
  <si>
    <t>M6707666</t>
  </si>
  <si>
    <t>M6724390</t>
  </si>
  <si>
    <t>M6724502</t>
  </si>
  <si>
    <t>20 Mesh Lined Perforated Screen</t>
  </si>
  <si>
    <t>Stainless Steel Body - ASTM A351 CF8M - Flanged Ends - 300# - Made in USA</t>
  </si>
  <si>
    <t>782SS</t>
  </si>
  <si>
    <t>300# Flanged Ends</t>
  </si>
  <si>
    <t>M6707474</t>
  </si>
  <si>
    <t>M6728033</t>
  </si>
  <si>
    <t>M6729453</t>
  </si>
  <si>
    <t>M6707475</t>
  </si>
  <si>
    <t>M6716392</t>
  </si>
  <si>
    <t>M6734071</t>
  </si>
  <si>
    <t>M6707476</t>
  </si>
  <si>
    <t>M6732227</t>
  </si>
  <si>
    <t>M6707477</t>
  </si>
  <si>
    <t>M6732259</t>
  </si>
  <si>
    <t>M6749126</t>
  </si>
  <si>
    <t>M6701501</t>
  </si>
  <si>
    <t>M6718358</t>
  </si>
  <si>
    <t>M6717602</t>
  </si>
  <si>
    <t>M6701650</t>
  </si>
  <si>
    <t>M6752808</t>
  </si>
  <si>
    <t>M6752811</t>
  </si>
  <si>
    <t>M6702434</t>
  </si>
  <si>
    <t>M6752656</t>
  </si>
  <si>
    <t>M6712222</t>
  </si>
  <si>
    <t>M6703039</t>
  </si>
  <si>
    <t>M6721136</t>
  </si>
  <si>
    <t>M6749007</t>
  </si>
  <si>
    <t>M6752872</t>
  </si>
  <si>
    <t>M6752877</t>
  </si>
  <si>
    <t>M6752880</t>
  </si>
  <si>
    <t>M6703760</t>
  </si>
  <si>
    <t>M6749827</t>
  </si>
  <si>
    <t>M6743608</t>
  </si>
  <si>
    <t>M6745136</t>
  </si>
  <si>
    <t>M6749512</t>
  </si>
  <si>
    <t>Stainless Steel Body - ASTM A351 CF8M - Butt Weld Ends - 300# - Made in USA</t>
  </si>
  <si>
    <t>782SS-WE</t>
  </si>
  <si>
    <t>300# Butt Weld Ends</t>
  </si>
  <si>
    <t>M6747128</t>
  </si>
  <si>
    <t>M6734548</t>
  </si>
  <si>
    <t>M6756272</t>
  </si>
  <si>
    <t>M6707478</t>
  </si>
  <si>
    <t>M6745911</t>
  </si>
  <si>
    <t>M6733051</t>
  </si>
  <si>
    <t>M6717167</t>
  </si>
  <si>
    <t>M6727396</t>
  </si>
  <si>
    <t>Model 782SS, 782SS-N &amp; 781SS-WE</t>
  </si>
  <si>
    <t>782SS, 782SS-N &amp; 781SS-WE</t>
  </si>
  <si>
    <t>Model 125</t>
  </si>
  <si>
    <t>Iron Body Basket Strainer - ASTM A126 Gr. B – Screwed Ends - FNPT - Made in USA</t>
  </si>
  <si>
    <t>ORDER CODE</t>
  </si>
  <si>
    <t>M6700142</t>
  </si>
  <si>
    <t>M6712962</t>
  </si>
  <si>
    <t>M6752267</t>
  </si>
  <si>
    <t>M6700193</t>
  </si>
  <si>
    <t>M6752279</t>
  </si>
  <si>
    <t>M6716641</t>
  </si>
  <si>
    <t>M6700561</t>
  </si>
  <si>
    <t>M6709686</t>
  </si>
  <si>
    <t>M6700650</t>
  </si>
  <si>
    <t>M6711839</t>
  </si>
  <si>
    <t>M6752302</t>
  </si>
  <si>
    <t>M6700704</t>
  </si>
  <si>
    <t>M6709802</t>
  </si>
  <si>
    <t>M6752315</t>
  </si>
  <si>
    <t>M6701301</t>
  </si>
  <si>
    <t>M6709875</t>
  </si>
  <si>
    <t>M6709877</t>
  </si>
  <si>
    <t>M6701555</t>
  </si>
  <si>
    <t>M6752334</t>
  </si>
  <si>
    <t>M6752337</t>
  </si>
  <si>
    <t>M6702198</t>
  </si>
  <si>
    <t>M6710006</t>
  </si>
  <si>
    <t>M6752346</t>
  </si>
  <si>
    <t>Model 125-N</t>
  </si>
  <si>
    <t>Iron Body Basket Strainer - ASTM A126 Gr. B - Screwed Ends - FNPT - Imported</t>
  </si>
  <si>
    <t>125-N</t>
  </si>
  <si>
    <t>Screwed Ends</t>
  </si>
  <si>
    <t>M6733116</t>
  </si>
  <si>
    <t>M6733117</t>
  </si>
  <si>
    <t>M6733118</t>
  </si>
  <si>
    <t>M6749987</t>
  </si>
  <si>
    <t>M6733119</t>
  </si>
  <si>
    <t>M6733120</t>
  </si>
  <si>
    <t>M6733121</t>
  </si>
  <si>
    <t>M6733122</t>
  </si>
  <si>
    <t>Model 125 and 125-N</t>
  </si>
  <si>
    <t>Cover O-ring</t>
  </si>
  <si>
    <t>M6722324</t>
  </si>
  <si>
    <t>M6722454</t>
  </si>
  <si>
    <t>M6722683</t>
  </si>
  <si>
    <t>M6723096</t>
  </si>
  <si>
    <t>M6723322</t>
  </si>
  <si>
    <t>M6723393</t>
  </si>
  <si>
    <t>Basket O-ring</t>
  </si>
  <si>
    <t>M6722325</t>
  </si>
  <si>
    <t>M6722453</t>
  </si>
  <si>
    <t>M6722684</t>
  </si>
  <si>
    <t>M6723323</t>
  </si>
  <si>
    <t>M6723391</t>
  </si>
  <si>
    <t>M6711335</t>
  </si>
  <si>
    <t>M6710527</t>
  </si>
  <si>
    <t>M6710758</t>
  </si>
  <si>
    <t>M6710674</t>
  </si>
  <si>
    <t>M6714745</t>
  </si>
  <si>
    <t>M6710714</t>
  </si>
  <si>
    <t>M6711674</t>
  </si>
  <si>
    <t>M6709744</t>
  </si>
  <si>
    <t>M6712476</t>
  </si>
  <si>
    <t>M6709840</t>
  </si>
  <si>
    <t>M6709946</t>
  </si>
  <si>
    <t>M6716728</t>
  </si>
  <si>
    <t>M6710482</t>
  </si>
  <si>
    <t>M6711357</t>
  </si>
  <si>
    <t>M6710581</t>
  </si>
  <si>
    <t>M6709841</t>
  </si>
  <si>
    <t>M6709948</t>
  </si>
  <si>
    <t>M6711423</t>
  </si>
  <si>
    <t>M6710046</t>
  </si>
  <si>
    <t>M6712208</t>
  </si>
  <si>
    <t>M6711437</t>
  </si>
  <si>
    <t>M6752306</t>
  </si>
  <si>
    <t>M6710602</t>
  </si>
  <si>
    <t>M6709949</t>
  </si>
  <si>
    <t>M6716793</t>
  </si>
  <si>
    <t>M6711013</t>
  </si>
  <si>
    <t>M6712690</t>
  </si>
  <si>
    <t>M6709746</t>
  </si>
  <si>
    <t>M6711703</t>
  </si>
  <si>
    <t>M6709842</t>
  </si>
  <si>
    <t>M6711123</t>
  </si>
  <si>
    <t>M6712153</t>
  </si>
  <si>
    <t>M6712172</t>
  </si>
  <si>
    <t>M6711967</t>
  </si>
  <si>
    <t>M6709747</t>
  </si>
  <si>
    <t>M6711440</t>
  </si>
  <si>
    <t>M6709844</t>
  </si>
  <si>
    <t>M6709950</t>
  </si>
  <si>
    <t>M6713192</t>
  </si>
  <si>
    <t>M6711133</t>
  </si>
  <si>
    <t>Knobs</t>
  </si>
  <si>
    <t>M6722328</t>
  </si>
  <si>
    <t>M6723294</t>
  </si>
  <si>
    <t>Model 125F</t>
  </si>
  <si>
    <t>Iron Body Basket Y Strainer - ASTM A126 Gr. B - Flanged Ends - 125# - Made in USA</t>
  </si>
  <si>
    <t>125F</t>
  </si>
  <si>
    <t>125# Flanged Ends</t>
  </si>
  <si>
    <t>M6700563</t>
  </si>
  <si>
    <t>M6732254</t>
  </si>
  <si>
    <t>M6734677</t>
  </si>
  <si>
    <t>M6700652</t>
  </si>
  <si>
    <t>M6700707</t>
  </si>
  <si>
    <t>M6732836</t>
  </si>
  <si>
    <t>M6744708</t>
  </si>
  <si>
    <t>M6701304</t>
  </si>
  <si>
    <t>M6711719</t>
  </si>
  <si>
    <t>M6734414</t>
  </si>
  <si>
    <t>M6701556</t>
  </si>
  <si>
    <t>M6739070</t>
  </si>
  <si>
    <t>M6752445</t>
  </si>
  <si>
    <t>M6702201</t>
  </si>
  <si>
    <t>M6711460</t>
  </si>
  <si>
    <t>M6713291</t>
  </si>
  <si>
    <t>M6702811</t>
  </si>
  <si>
    <t>M6712915</t>
  </si>
  <si>
    <t>M6718584</t>
  </si>
  <si>
    <t>M6703339</t>
  </si>
  <si>
    <t>M6703543</t>
  </si>
  <si>
    <t>M6721045</t>
  </si>
  <si>
    <t>M6749689</t>
  </si>
  <si>
    <t>M6704037</t>
  </si>
  <si>
    <t>M6738604</t>
  </si>
  <si>
    <t>M6704488</t>
  </si>
  <si>
    <t>Sizes 12"-24" Consult Factory</t>
  </si>
  <si>
    <t>Model 125F-N</t>
  </si>
  <si>
    <t>Iron Body Basket Y Strainer - ASTM A126 Gr. B - Flanged Ends - 125# - Imported</t>
  </si>
  <si>
    <t>125F-N</t>
  </si>
  <si>
    <t>M6753363</t>
  </si>
  <si>
    <t>M6753364</t>
  </si>
  <si>
    <t>M6744247</t>
  </si>
  <si>
    <t>M6747481</t>
  </si>
  <si>
    <t>M6752446</t>
  </si>
  <si>
    <t>M6744608</t>
  </si>
  <si>
    <t>M6753365</t>
  </si>
  <si>
    <t>M6753366</t>
  </si>
  <si>
    <t>M6742720</t>
  </si>
  <si>
    <t>M6753367</t>
  </si>
  <si>
    <t>M6753368</t>
  </si>
  <si>
    <t>Model 125F &amp; 125F-N</t>
  </si>
  <si>
    <t>125F &amp; 125F-N</t>
  </si>
  <si>
    <t>M6724042</t>
  </si>
  <si>
    <t>M6724361</t>
  </si>
  <si>
    <t>M6724488</t>
  </si>
  <si>
    <t>M6724759</t>
  </si>
  <si>
    <t>M6725070</t>
  </si>
  <si>
    <t>M6724043</t>
  </si>
  <si>
    <t>M6724489</t>
  </si>
  <si>
    <t>M6724760</t>
  </si>
  <si>
    <t>M6706015</t>
  </si>
  <si>
    <t>Bottom Gasket</t>
  </si>
  <si>
    <t>M6706018</t>
  </si>
  <si>
    <t>1/16" Perf Baskets</t>
  </si>
  <si>
    <t>M6711021</t>
  </si>
  <si>
    <t>1/8" Baskets</t>
  </si>
  <si>
    <t>M6718497</t>
  </si>
  <si>
    <t>M6710775</t>
  </si>
  <si>
    <t>M6713309</t>
  </si>
  <si>
    <t>M6713167</t>
  </si>
  <si>
    <t>20 Mesh Lined Baskets</t>
  </si>
  <si>
    <t>M6710575</t>
  </si>
  <si>
    <t>M6714936</t>
  </si>
  <si>
    <t>M6717033</t>
  </si>
  <si>
    <t>M6710925</t>
  </si>
  <si>
    <t>M6716478</t>
  </si>
  <si>
    <t>40 Mesh Lined Baskets</t>
  </si>
  <si>
    <t>M6712914</t>
  </si>
  <si>
    <t>M6713469</t>
  </si>
  <si>
    <t>M6712467</t>
  </si>
  <si>
    <t>M6761417</t>
  </si>
  <si>
    <t>60 Mesh Lined Baskets</t>
  </si>
  <si>
    <t>M6712590</t>
  </si>
  <si>
    <t>M6711524</t>
  </si>
  <si>
    <t>M6714422</t>
  </si>
  <si>
    <t>M6747796</t>
  </si>
  <si>
    <t>80 Mesh Lined Baskets</t>
  </si>
  <si>
    <t>M6714119</t>
  </si>
  <si>
    <t>M6714035</t>
  </si>
  <si>
    <t>M6720292</t>
  </si>
  <si>
    <t>100 Mesh Lined Baskets</t>
  </si>
  <si>
    <t>M6713006</t>
  </si>
  <si>
    <t>M6710695</t>
  </si>
  <si>
    <t>M6717440</t>
  </si>
  <si>
    <t>M6713621</t>
  </si>
  <si>
    <t>Model 155M</t>
  </si>
  <si>
    <t>Iron Body Basket Y Strainer - ASTM A126 Gr. B - Flanged Ends - 125# - Clamp Type Cover - Made in USA</t>
  </si>
  <si>
    <t>155M</t>
  </si>
  <si>
    <t>M6701310</t>
  </si>
  <si>
    <t>M6752770</t>
  </si>
  <si>
    <t>M6741337</t>
  </si>
  <si>
    <t>2 1/2</t>
  </si>
  <si>
    <t>M6701560</t>
  </si>
  <si>
    <t>M6752778</t>
  </si>
  <si>
    <t>M6752780</t>
  </si>
  <si>
    <t>M6702206</t>
  </si>
  <si>
    <t>M6710615</t>
  </si>
  <si>
    <t>M6720630</t>
  </si>
  <si>
    <t>M6702815</t>
  </si>
  <si>
    <t>M6753077</t>
  </si>
  <si>
    <t>M6733534</t>
  </si>
  <si>
    <t>M6703341</t>
  </si>
  <si>
    <t>M6753086</t>
  </si>
  <si>
    <t>M6753093</t>
  </si>
  <si>
    <t>M6703546</t>
  </si>
  <si>
    <t>M6742353</t>
  </si>
  <si>
    <t>M6728725</t>
  </si>
  <si>
    <t>M6704041</t>
  </si>
  <si>
    <t>M6741264</t>
  </si>
  <si>
    <t>M6704492</t>
  </si>
  <si>
    <t>M6740915</t>
  </si>
  <si>
    <t>M6704988</t>
  </si>
  <si>
    <t>M6705309</t>
  </si>
  <si>
    <t>Sizes 16"-24" Consult Factory</t>
  </si>
  <si>
    <t>Model 155M-N</t>
  </si>
  <si>
    <t>Iron Body Basket Y Strainer - ASTM A126 Gr. B - Flanged Ends - 125# - Clamp Type Cover - Imported</t>
  </si>
  <si>
    <t>M6701311</t>
  </si>
  <si>
    <t>M6701561</t>
  </si>
  <si>
    <t>M6702207</t>
  </si>
  <si>
    <t>M6702816</t>
  </si>
  <si>
    <t>M6703342</t>
  </si>
  <si>
    <t>M6703547</t>
  </si>
  <si>
    <t>M6704042</t>
  </si>
  <si>
    <t>M6704493</t>
  </si>
  <si>
    <t>M6704989</t>
  </si>
  <si>
    <t>Model 155M &amp; 155M-N</t>
  </si>
  <si>
    <t>155M &amp; 155M-N</t>
  </si>
  <si>
    <t>O-rings</t>
  </si>
  <si>
    <t>M6723103</t>
  </si>
  <si>
    <t>M6723333</t>
  </si>
  <si>
    <t>M6723750</t>
  </si>
  <si>
    <t>M6724055</t>
  </si>
  <si>
    <t>M6707331</t>
  </si>
  <si>
    <t>M6724494</t>
  </si>
  <si>
    <t>M6724765</t>
  </si>
  <si>
    <t>M6725076</t>
  </si>
  <si>
    <t>M6724761</t>
  </si>
  <si>
    <t>M6725272</t>
  </si>
  <si>
    <t>M6712718</t>
  </si>
  <si>
    <t>M6713933</t>
  </si>
  <si>
    <t>M6711000</t>
  </si>
  <si>
    <t>M6710507</t>
  </si>
  <si>
    <t>1/8" Perf Baskets</t>
  </si>
  <si>
    <t>M6711620</t>
  </si>
  <si>
    <t>M6711250</t>
  </si>
  <si>
    <t>M6712060</t>
  </si>
  <si>
    <t>M6711943</t>
  </si>
  <si>
    <t>M6711030</t>
  </si>
  <si>
    <t>M6715931</t>
  </si>
  <si>
    <t>M6711087</t>
  </si>
  <si>
    <t>M6710918</t>
  </si>
  <si>
    <t>M6710621</t>
  </si>
  <si>
    <t>M6735214</t>
  </si>
  <si>
    <t>M6711949</t>
  </si>
  <si>
    <t>M6711333</t>
  </si>
  <si>
    <t>M6712780</t>
  </si>
  <si>
    <t>M6715192</t>
  </si>
  <si>
    <t>M6710616</t>
  </si>
  <si>
    <t>M6712068</t>
  </si>
  <si>
    <t>M6753087</t>
  </si>
  <si>
    <t>M6714667</t>
  </si>
  <si>
    <t>M6712312</t>
  </si>
  <si>
    <t>M6715124</t>
  </si>
  <si>
    <t>M6716751</t>
  </si>
  <si>
    <t>M6711747</t>
  </si>
  <si>
    <t>M6712495</t>
  </si>
  <si>
    <t>M6753089</t>
  </si>
  <si>
    <t>M6710583</t>
  </si>
  <si>
    <t>M6712120</t>
  </si>
  <si>
    <t>M6733709</t>
  </si>
  <si>
    <t>M6716812</t>
  </si>
  <si>
    <t>M6712325</t>
  </si>
  <si>
    <t>M6714367</t>
  </si>
  <si>
    <t>M6711254</t>
  </si>
  <si>
    <t>M6711326</t>
  </si>
  <si>
    <t>M6715809</t>
  </si>
  <si>
    <t>M6716618</t>
  </si>
  <si>
    <t>M6712209</t>
  </si>
  <si>
    <t>M6718556</t>
  </si>
  <si>
    <t>M6711166</t>
  </si>
  <si>
    <t>M6753092</t>
  </si>
  <si>
    <t>M6712118</t>
  </si>
  <si>
    <t>M6713734</t>
  </si>
  <si>
    <t>M6740914</t>
  </si>
  <si>
    <t>M6734604</t>
  </si>
  <si>
    <t>Model 165</t>
  </si>
  <si>
    <t>Iron Body Basket Y Strainer - ASTM A126 Gr. B - 125# - Bolted Cover - Made in USA</t>
  </si>
  <si>
    <t>M6701313</t>
  </si>
  <si>
    <t>M6713398</t>
  </si>
  <si>
    <t>M6753146</t>
  </si>
  <si>
    <t>M6701562</t>
  </si>
  <si>
    <t>M6753157</t>
  </si>
  <si>
    <t>M6753160</t>
  </si>
  <si>
    <t>M6702209</t>
  </si>
  <si>
    <t>M6711996</t>
  </si>
  <si>
    <t>M6753174</t>
  </si>
  <si>
    <t>M6702817</t>
  </si>
  <si>
    <t>M6712283</t>
  </si>
  <si>
    <t>M6753187</t>
  </si>
  <si>
    <t>M6703343</t>
  </si>
  <si>
    <t>M6753198</t>
  </si>
  <si>
    <t>M6753201</t>
  </si>
  <si>
    <t>M6703548</t>
  </si>
  <si>
    <t>M6712723</t>
  </si>
  <si>
    <t>M6730939</t>
  </si>
  <si>
    <t>M6704043</t>
  </si>
  <si>
    <t>M6713397</t>
  </si>
  <si>
    <t>M6704494</t>
  </si>
  <si>
    <t>M6704990</t>
  </si>
  <si>
    <t>M6715932</t>
  </si>
  <si>
    <t>M6734605</t>
  </si>
  <si>
    <t>M6705310</t>
  </si>
  <si>
    <t>Model 165-N</t>
  </si>
  <si>
    <t>Iron Body Basket Y Strainer - ASTM A126 Gr. B - Flanged Ends - 125# - Bolted Cover - Imported</t>
  </si>
  <si>
    <t>165-N</t>
  </si>
  <si>
    <t>M6701314</t>
  </si>
  <si>
    <t>M6701563</t>
  </si>
  <si>
    <t>M6702210</t>
  </si>
  <si>
    <t>M6702818</t>
  </si>
  <si>
    <t>M6703344</t>
  </si>
  <si>
    <t>M6703549</t>
  </si>
  <si>
    <t>M6704044</t>
  </si>
  <si>
    <t>M6704495</t>
  </si>
  <si>
    <t>M6704991</t>
  </si>
  <si>
    <t>Model 165 &amp; 165-N</t>
  </si>
  <si>
    <t>165 &amp; 165-N</t>
  </si>
  <si>
    <t>Cover Gaskets</t>
  </si>
  <si>
    <t>M6723106</t>
  </si>
  <si>
    <t>M6723752</t>
  </si>
  <si>
    <t>M6724056</t>
  </si>
  <si>
    <t>M6724365</t>
  </si>
  <si>
    <t>M6724496</t>
  </si>
  <si>
    <t>M6724768</t>
  </si>
  <si>
    <t>M6724891</t>
  </si>
  <si>
    <t>M6724826</t>
  </si>
  <si>
    <t>M6725275</t>
  </si>
  <si>
    <t>M6711903</t>
  </si>
  <si>
    <t>Model 166-DI</t>
  </si>
  <si>
    <t>Ductile Iron Strainer - ASTM A395 - Flanged Ends - 250# - Bolted Cover</t>
  </si>
  <si>
    <t>166-DI</t>
  </si>
  <si>
    <t>250# Flanged Ends</t>
  </si>
  <si>
    <t>M6701315</t>
  </si>
  <si>
    <t>M6709312</t>
  </si>
  <si>
    <t>M6709307</t>
  </si>
  <si>
    <t>M6702820</t>
  </si>
  <si>
    <t>M6735113</t>
  </si>
  <si>
    <t>M6709309</t>
  </si>
  <si>
    <t>M6709310</t>
  </si>
  <si>
    <t>M6709311</t>
  </si>
  <si>
    <t>M6725934</t>
  </si>
  <si>
    <t>M6718418</t>
  </si>
  <si>
    <t>Model 125-CS</t>
  </si>
  <si>
    <t>125-CS</t>
  </si>
  <si>
    <t>M6700143</t>
  </si>
  <si>
    <t>M6740685</t>
  </si>
  <si>
    <t>M6700194</t>
  </si>
  <si>
    <t>M6737832</t>
  </si>
  <si>
    <t>M6700562</t>
  </si>
  <si>
    <t>M6715453</t>
  </si>
  <si>
    <t>M6712841</t>
  </si>
  <si>
    <t>1 1/4</t>
  </si>
  <si>
    <t>M6700653</t>
  </si>
  <si>
    <t>M6750015</t>
  </si>
  <si>
    <t>1 1/2</t>
  </si>
  <si>
    <t>M6700705</t>
  </si>
  <si>
    <t>M6720277</t>
  </si>
  <si>
    <t>M6716462</t>
  </si>
  <si>
    <t>M6701302</t>
  </si>
  <si>
    <t>M6733129</t>
  </si>
  <si>
    <t>M6701557</t>
  </si>
  <si>
    <t>M6702199</t>
  </si>
  <si>
    <t>Model 125F-CS</t>
  </si>
  <si>
    <t>125F-CS</t>
  </si>
  <si>
    <t>150# Flanged Ends</t>
  </si>
  <si>
    <t>M6700564</t>
  </si>
  <si>
    <t>M6721367</t>
  </si>
  <si>
    <t>M6761112</t>
  </si>
  <si>
    <t>M6761166</t>
  </si>
  <si>
    <t>M6700708</t>
  </si>
  <si>
    <t>M6712302</t>
  </si>
  <si>
    <t>M6701305</t>
  </si>
  <si>
    <t>M6715422</t>
  </si>
  <si>
    <t>M6713227</t>
  </si>
  <si>
    <t>M6747134</t>
  </si>
  <si>
    <t>M6702202</t>
  </si>
  <si>
    <t>M6711948</t>
  </si>
  <si>
    <t>M6732828</t>
  </si>
  <si>
    <t>M6702813</t>
  </si>
  <si>
    <t>M6744472</t>
  </si>
  <si>
    <t>M6703544</t>
  </si>
  <si>
    <t>M6741597</t>
  </si>
  <si>
    <t>M6717448</t>
  </si>
  <si>
    <t>M6704038</t>
  </si>
  <si>
    <t>M6717021</t>
  </si>
  <si>
    <t>M6704489</t>
  </si>
  <si>
    <t>Model 126F-CS</t>
  </si>
  <si>
    <t>126F-CS</t>
  </si>
  <si>
    <t>M6709318</t>
  </si>
  <si>
    <t>M6732656</t>
  </si>
  <si>
    <t>M6727694</t>
  </si>
  <si>
    <t>M6707633</t>
  </si>
  <si>
    <t>M6708226</t>
  </si>
  <si>
    <t>M6740853</t>
  </si>
  <si>
    <t>M6733285</t>
  </si>
  <si>
    <t>Cover Gasket</t>
  </si>
  <si>
    <t>M6708200</t>
  </si>
  <si>
    <t>M6707766</t>
  </si>
  <si>
    <t>M6707732</t>
  </si>
  <si>
    <t>M6707719</t>
  </si>
  <si>
    <t>M6707631</t>
  </si>
  <si>
    <t>M6708026</t>
  </si>
  <si>
    <t>M6737123</t>
  </si>
  <si>
    <t>M6733286</t>
  </si>
  <si>
    <t>Basket Gasket</t>
  </si>
  <si>
    <t>M6708201</t>
  </si>
  <si>
    <t>M6726543</t>
  </si>
  <si>
    <t>M6707733</t>
  </si>
  <si>
    <t>M6707720</t>
  </si>
  <si>
    <t>M6707629</t>
  </si>
  <si>
    <t>M6708027</t>
  </si>
  <si>
    <t>M6708033</t>
  </si>
  <si>
    <t>M6708221</t>
  </si>
  <si>
    <t>M6734283</t>
  </si>
  <si>
    <t>Model 185CS</t>
  </si>
  <si>
    <t>Carbon Steel Basket Strainer - ASTM WCB - Flanged Ends - 150# - Bolted Cover - Made In USA</t>
  </si>
  <si>
    <t>185CS</t>
  </si>
  <si>
    <t xml:space="preserve">300# Flanged Ends </t>
  </si>
  <si>
    <t>M6700713</t>
  </si>
  <si>
    <t>M6716117</t>
  </si>
  <si>
    <t>M6701316</t>
  </si>
  <si>
    <t>M6711904</t>
  </si>
  <si>
    <t>M6716633</t>
  </si>
  <si>
    <t>M6701565</t>
  </si>
  <si>
    <t>M6702214</t>
  </si>
  <si>
    <t>M6730669</t>
  </si>
  <si>
    <t>M6735672</t>
  </si>
  <si>
    <t>M6702821</t>
  </si>
  <si>
    <t>M6710085</t>
  </si>
  <si>
    <t>M6716434</t>
  </si>
  <si>
    <t>M6703552</t>
  </si>
  <si>
    <t>M6711236</t>
  </si>
  <si>
    <t>M6740540</t>
  </si>
  <si>
    <t>M6704047</t>
  </si>
  <si>
    <t>M6751169</t>
  </si>
  <si>
    <t>M6704497</t>
  </si>
  <si>
    <t>M6716178</t>
  </si>
  <si>
    <t>M6704992</t>
  </si>
  <si>
    <t>M6716934</t>
  </si>
  <si>
    <t>Model 185CS-N</t>
  </si>
  <si>
    <t>Carbon Steel Basket Strainer - ASTM WCB - Flanged Ends - 150# - Bolted Cover - Imported</t>
  </si>
  <si>
    <t>185CS-N</t>
  </si>
  <si>
    <t>M6753211</t>
  </si>
  <si>
    <t>M6753143</t>
  </si>
  <si>
    <t>M6701566</t>
  </si>
  <si>
    <t>M6702215</t>
  </si>
  <si>
    <t>M6702822</t>
  </si>
  <si>
    <t>M6753212</t>
  </si>
  <si>
    <t>M6753213</t>
  </si>
  <si>
    <t>M6753214</t>
  </si>
  <si>
    <t>M6753215</t>
  </si>
  <si>
    <t>M6753216</t>
  </si>
  <si>
    <t>Model 185CS &amp; 185CS-N</t>
  </si>
  <si>
    <t>185CS &amp; 185CS-N</t>
  </si>
  <si>
    <t>M6722786</t>
  </si>
  <si>
    <t>M6717684</t>
  </si>
  <si>
    <t>M6716970</t>
  </si>
  <si>
    <t>M6716702</t>
  </si>
  <si>
    <t>M6711051</t>
  </si>
  <si>
    <t>M6710989</t>
  </si>
  <si>
    <t>M6717290</t>
  </si>
  <si>
    <t>M6711790</t>
  </si>
  <si>
    <t>M6710809</t>
  </si>
  <si>
    <t>M6717036</t>
  </si>
  <si>
    <t>M6716535</t>
  </si>
  <si>
    <t>M6712067</t>
  </si>
  <si>
    <t>M6717996</t>
  </si>
  <si>
    <t>M6711496</t>
  </si>
  <si>
    <t>M6710105</t>
  </si>
  <si>
    <t>M6710573</t>
  </si>
  <si>
    <t>M6710975</t>
  </si>
  <si>
    <t>M6738108</t>
  </si>
  <si>
    <t>M6714082</t>
  </si>
  <si>
    <t>M6720949</t>
  </si>
  <si>
    <t>M6728063</t>
  </si>
  <si>
    <t>M6711818</t>
  </si>
  <si>
    <t>M6718308</t>
  </si>
  <si>
    <t>M6746117</t>
  </si>
  <si>
    <t>M6741658</t>
  </si>
  <si>
    <t>M6718006</t>
  </si>
  <si>
    <t>M6716734</t>
  </si>
  <si>
    <t>M6710854</t>
  </si>
  <si>
    <t>M6712051</t>
  </si>
  <si>
    <t>M6718404</t>
  </si>
  <si>
    <t>M6730659</t>
  </si>
  <si>
    <t>M6716975</t>
  </si>
  <si>
    <t>M6734028</t>
  </si>
  <si>
    <t>M6710047</t>
  </si>
  <si>
    <t>M6736083</t>
  </si>
  <si>
    <t>M6760862</t>
  </si>
  <si>
    <t>M6741604</t>
  </si>
  <si>
    <t>Model 186</t>
  </si>
  <si>
    <t>M6700715</t>
  </si>
  <si>
    <t>M6701318</t>
  </si>
  <si>
    <t>M6740449</t>
  </si>
  <si>
    <t>M6735218</t>
  </si>
  <si>
    <t>M6734887</t>
  </si>
  <si>
    <t>M6702217</t>
  </si>
  <si>
    <t>M6719083</t>
  </si>
  <si>
    <t>M6702824</t>
  </si>
  <si>
    <t>M6732105</t>
  </si>
  <si>
    <t>M6703554</t>
  </si>
  <si>
    <t>M6718339</t>
  </si>
  <si>
    <t>M6721277</t>
  </si>
  <si>
    <t>M6704049</t>
  </si>
  <si>
    <t>M6712782</t>
  </si>
  <si>
    <t>M6704498</t>
  </si>
  <si>
    <t>M6704993</t>
  </si>
  <si>
    <t>M6748400</t>
  </si>
  <si>
    <t>M6707977</t>
  </si>
  <si>
    <t>M6708126</t>
  </si>
  <si>
    <t>Model 125-SS</t>
  </si>
  <si>
    <t>125-SS</t>
  </si>
  <si>
    <t>M6700144</t>
  </si>
  <si>
    <t>M6700195</t>
  </si>
  <si>
    <t>M6734751</t>
  </si>
  <si>
    <t>M6700566</t>
  </si>
  <si>
    <t>M6714317</t>
  </si>
  <si>
    <t>M6710856</t>
  </si>
  <si>
    <t>M6700655</t>
  </si>
  <si>
    <t>M6729407</t>
  </si>
  <si>
    <t xml:space="preserve">1 1/4 </t>
  </si>
  <si>
    <t>M6715865</t>
  </si>
  <si>
    <t>M6700710</t>
  </si>
  <si>
    <t>M6712251</t>
  </si>
  <si>
    <t>M6701307</t>
  </si>
  <si>
    <t>M6730839</t>
  </si>
  <si>
    <t>M6734457</t>
  </si>
  <si>
    <t>M6754933</t>
  </si>
  <si>
    <t>M6702204</t>
  </si>
  <si>
    <t>M6730690</t>
  </si>
  <si>
    <t>M6739520</t>
  </si>
  <si>
    <t>M6722329</t>
  </si>
  <si>
    <t>M6722474</t>
  </si>
  <si>
    <t>M6722689</t>
  </si>
  <si>
    <t>M6723327</t>
  </si>
  <si>
    <t>M6723406</t>
  </si>
  <si>
    <t>M6722330</t>
  </si>
  <si>
    <t>M6722475</t>
  </si>
  <si>
    <t>M6722690</t>
  </si>
  <si>
    <t>M6723098</t>
  </si>
  <si>
    <t>M6723328</t>
  </si>
  <si>
    <t>M6723408</t>
  </si>
  <si>
    <t>M6714697</t>
  </si>
  <si>
    <t>M6749217</t>
  </si>
  <si>
    <t>M6712274</t>
  </si>
  <si>
    <t>M6741364</t>
  </si>
  <si>
    <t>M6742341</t>
  </si>
  <si>
    <t>Model 125F-SS</t>
  </si>
  <si>
    <t>125F-SS</t>
  </si>
  <si>
    <t xml:space="preserve">150# Flanged Ends </t>
  </si>
  <si>
    <t>M6709316</t>
  </si>
  <si>
    <t>M6722019</t>
  </si>
  <si>
    <t>M6737843</t>
  </si>
  <si>
    <t>M6700565</t>
  </si>
  <si>
    <t>M6712443</t>
  </si>
  <si>
    <t>M6715632</t>
  </si>
  <si>
    <t>M6700709</t>
  </si>
  <si>
    <t>M6735475</t>
  </si>
  <si>
    <t>M6701306</t>
  </si>
  <si>
    <t>M6715629</t>
  </si>
  <si>
    <t>M6713306</t>
  </si>
  <si>
    <t>M6701558</t>
  </si>
  <si>
    <t>M6702203</t>
  </si>
  <si>
    <t>M6752173</t>
  </si>
  <si>
    <t>M6732643</t>
  </si>
  <si>
    <t>M6702814</t>
  </si>
  <si>
    <t>M6760700</t>
  </si>
  <si>
    <t>M6716636</t>
  </si>
  <si>
    <t>M6729938</t>
  </si>
  <si>
    <t>M6703545</t>
  </si>
  <si>
    <t>M6704039</t>
  </si>
  <si>
    <t>M6730694</t>
  </si>
  <si>
    <t>M6724049</t>
  </si>
  <si>
    <t>M6727036</t>
  </si>
  <si>
    <t>M6724491</t>
  </si>
  <si>
    <t>M6724763</t>
  </si>
  <si>
    <t>M6726600</t>
  </si>
  <si>
    <t>M6724050</t>
  </si>
  <si>
    <t>M6724492</t>
  </si>
  <si>
    <t>M6724764</t>
  </si>
  <si>
    <t>M6706113</t>
  </si>
  <si>
    <t>Model 185F-SS</t>
  </si>
  <si>
    <t>185F-SS</t>
  </si>
  <si>
    <t>M6700714</t>
  </si>
  <si>
    <t>M6733608</t>
  </si>
  <si>
    <t>M6701317</t>
  </si>
  <si>
    <t>M6735331</t>
  </si>
  <si>
    <t>15,9</t>
  </si>
  <si>
    <t>M6701567</t>
  </si>
  <si>
    <t>M6734029</t>
  </si>
  <si>
    <t>M6702216</t>
  </si>
  <si>
    <t>M6761895</t>
  </si>
  <si>
    <t>M6710011</t>
  </si>
  <si>
    <t>M6702823</t>
  </si>
  <si>
    <t>M6739321</t>
  </si>
  <si>
    <t>M6717348</t>
  </si>
  <si>
    <t>M6703347</t>
  </si>
  <si>
    <t>M6703553</t>
  </si>
  <si>
    <t>M6704048</t>
  </si>
  <si>
    <t>M6749631</t>
  </si>
  <si>
    <t>Model 791S</t>
  </si>
  <si>
    <t>BODY MATERIAL</t>
  </si>
  <si>
    <t>791S-AH</t>
  </si>
  <si>
    <t>Cast Iron ASTM A126 Gr B</t>
  </si>
  <si>
    <t>M6700232</t>
  </si>
  <si>
    <t>M6700608</t>
  </si>
  <si>
    <t>M6700681</t>
  </si>
  <si>
    <t>M6700770</t>
  </si>
  <si>
    <t>M6701503</t>
  </si>
  <si>
    <t>M6701652</t>
  </si>
  <si>
    <t>M6702436</t>
  </si>
  <si>
    <t>791F-AH</t>
  </si>
  <si>
    <t>M6700607</t>
  </si>
  <si>
    <t>M6700680</t>
  </si>
  <si>
    <t>M6700769</t>
  </si>
  <si>
    <t>791MF-AH</t>
  </si>
  <si>
    <t>Model 691MF</t>
  </si>
  <si>
    <t>SEAT</t>
  </si>
  <si>
    <t>Bronze</t>
  </si>
  <si>
    <t>Model 792S</t>
  </si>
  <si>
    <t>792S-DH</t>
  </si>
  <si>
    <t>Carbon Steel ASTM WCB</t>
  </si>
  <si>
    <t>M6726971</t>
  </si>
  <si>
    <t>M6700612</t>
  </si>
  <si>
    <t>M6700682</t>
  </si>
  <si>
    <t>M6700775</t>
  </si>
  <si>
    <t>M6701507</t>
  </si>
  <si>
    <t>M6753580</t>
  </si>
  <si>
    <t>M6741696</t>
  </si>
  <si>
    <t>792S-HH</t>
  </si>
  <si>
    <t>Stainless Steel ASTM A351 CF8M</t>
  </si>
  <si>
    <t>M6700234</t>
  </si>
  <si>
    <t>M6700613</t>
  </si>
  <si>
    <t>M6700683</t>
  </si>
  <si>
    <t>M6700776</t>
  </si>
  <si>
    <t>M6701508</t>
  </si>
  <si>
    <t>M6738170</t>
  </si>
  <si>
    <t>792F-DH</t>
  </si>
  <si>
    <t>M6700609</t>
  </si>
  <si>
    <t>M6739792</t>
  </si>
  <si>
    <t>M6700772</t>
  </si>
  <si>
    <t>792F-HH</t>
  </si>
  <si>
    <t>M6700610</t>
  </si>
  <si>
    <t>M6747283</t>
  </si>
  <si>
    <t>M6700773</t>
  </si>
  <si>
    <t>692MF-HH</t>
  </si>
  <si>
    <t>M6741279</t>
  </si>
  <si>
    <t>M6739589</t>
  </si>
  <si>
    <t>Model 794S</t>
  </si>
  <si>
    <t>794S-DH</t>
  </si>
  <si>
    <t>M6748870</t>
  </si>
  <si>
    <t>M6744564</t>
  </si>
  <si>
    <t>M6735887</t>
  </si>
  <si>
    <t>M6733666</t>
  </si>
  <si>
    <t>794S-HH</t>
  </si>
  <si>
    <t>M6735693</t>
  </si>
  <si>
    <t>M6700616</t>
  </si>
  <si>
    <t>M6736472</t>
  </si>
  <si>
    <t>M6736470</t>
  </si>
  <si>
    <t>M6709324</t>
  </si>
  <si>
    <t>Duplex Basket Strainer - Flanged Ends 150# - Bolted Cover</t>
  </si>
  <si>
    <t>794F-DH</t>
  </si>
  <si>
    <t>M6700614</t>
  </si>
  <si>
    <t>M6738194</t>
  </si>
  <si>
    <t>794F-HH</t>
  </si>
  <si>
    <t>M6700615</t>
  </si>
  <si>
    <t>M6735171</t>
  </si>
  <si>
    <t>Model 791/792/794/691/692</t>
  </si>
  <si>
    <t>Spare Parts for ALL Duplex Models</t>
  </si>
  <si>
    <t>791/792/794/691/692</t>
  </si>
  <si>
    <t xml:space="preserve">316SS Ball </t>
  </si>
  <si>
    <t>M6722449</t>
  </si>
  <si>
    <t>(2 Required per unit)</t>
  </si>
  <si>
    <t>M6722739</t>
  </si>
  <si>
    <t>M6723254</t>
  </si>
  <si>
    <t>M6723389</t>
  </si>
  <si>
    <t>M6724155</t>
  </si>
  <si>
    <t>M6724567</t>
  </si>
  <si>
    <t>M6704405</t>
  </si>
  <si>
    <t>M6704842</t>
  </si>
  <si>
    <t>M6705225</t>
  </si>
  <si>
    <t>M6705479</t>
  </si>
  <si>
    <t>M6705686</t>
  </si>
  <si>
    <t>Upper Shaft</t>
  </si>
  <si>
    <t>M6701210</t>
  </si>
  <si>
    <t>(1 Required per unit)</t>
  </si>
  <si>
    <t>M6702740</t>
  </si>
  <si>
    <t>M6703993</t>
  </si>
  <si>
    <t>M6704408</t>
  </si>
  <si>
    <t>M6738935</t>
  </si>
  <si>
    <t>M6705215</t>
  </si>
  <si>
    <t>M6706783</t>
  </si>
  <si>
    <t>M6708170</t>
  </si>
  <si>
    <t>Lower Shaft</t>
  </si>
  <si>
    <t>M6700911</t>
  </si>
  <si>
    <t>M6701212</t>
  </si>
  <si>
    <t>M6701947</t>
  </si>
  <si>
    <t>M6702742</t>
  </si>
  <si>
    <t>M6703293</t>
  </si>
  <si>
    <t>M6727505</t>
  </si>
  <si>
    <t>M6704397</t>
  </si>
  <si>
    <t>M6704833</t>
  </si>
  <si>
    <t>M6705217</t>
  </si>
  <si>
    <t>M6706788</t>
  </si>
  <si>
    <t>M6708172</t>
  </si>
  <si>
    <t>Handle/Gear Operator</t>
  </si>
  <si>
    <t>M6722473</t>
  </si>
  <si>
    <t>M6723268</t>
  </si>
  <si>
    <t>M6705858</t>
  </si>
  <si>
    <t>M6706110</t>
  </si>
  <si>
    <t>M6705095</t>
  </si>
  <si>
    <t>(4 Required per unit 3/4"-3"
8 required per unit 4"-6")</t>
  </si>
  <si>
    <t>M6723097</t>
  </si>
  <si>
    <t>Oring Kit - Buna</t>
  </si>
  <si>
    <t>M6722469</t>
  </si>
  <si>
    <t>M6722747</t>
  </si>
  <si>
    <t>M6723266</t>
  </si>
  <si>
    <t>M6723399</t>
  </si>
  <si>
    <t>M6724160</t>
  </si>
  <si>
    <t>M6724571</t>
  </si>
  <si>
    <t>M6747508</t>
  </si>
  <si>
    <t>M6747512</t>
  </si>
  <si>
    <t>M6747511</t>
  </si>
  <si>
    <t>M6747510</t>
  </si>
  <si>
    <t>Oring Kit - EPDM</t>
  </si>
  <si>
    <t>M6706258</t>
  </si>
  <si>
    <t>M6706259</t>
  </si>
  <si>
    <t>M6706260</t>
  </si>
  <si>
    <t>M6706261</t>
  </si>
  <si>
    <t>M6726795</t>
  </si>
  <si>
    <t>Oring Kit - Viton</t>
  </si>
  <si>
    <t>M6722485</t>
  </si>
  <si>
    <t>M6722752</t>
  </si>
  <si>
    <t>M6706240</t>
  </si>
  <si>
    <t>M6723411</t>
  </si>
  <si>
    <t>M6724170</t>
  </si>
  <si>
    <t>M6724577</t>
  </si>
  <si>
    <t>M6726334</t>
  </si>
  <si>
    <t>M6754078</t>
  </si>
  <si>
    <t>M6754190</t>
  </si>
  <si>
    <t>M6722009</t>
  </si>
  <si>
    <t>M6754209</t>
  </si>
  <si>
    <t>M6754212</t>
  </si>
  <si>
    <t>Seal Kit - Buna</t>
  </si>
  <si>
    <t>M6758654</t>
  </si>
  <si>
    <t>M6758655</t>
  </si>
  <si>
    <t>M6754080</t>
  </si>
  <si>
    <t>M6758657</t>
  </si>
  <si>
    <t>M6758658</t>
  </si>
  <si>
    <t>M6758659</t>
  </si>
  <si>
    <t>M6754111</t>
  </si>
  <si>
    <t>M6754112</t>
  </si>
  <si>
    <t>M6754113</t>
  </si>
  <si>
    <t>M6754114</t>
  </si>
  <si>
    <t>M6754115</t>
  </si>
  <si>
    <t>Seal Kit - EPDM</t>
  </si>
  <si>
    <t>M6758660</t>
  </si>
  <si>
    <t>M6754074</t>
  </si>
  <si>
    <t>M6754082</t>
  </si>
  <si>
    <t>M6758663</t>
  </si>
  <si>
    <t>M6754218</t>
  </si>
  <si>
    <t>M6758665</t>
  </si>
  <si>
    <t>M6754334</t>
  </si>
  <si>
    <t>M6754335</t>
  </si>
  <si>
    <t>M6754336</t>
  </si>
  <si>
    <t>M6754337</t>
  </si>
  <si>
    <t>M6754338</t>
  </si>
  <si>
    <t>Seal Kit - Viton</t>
  </si>
  <si>
    <t>M6758666</t>
  </si>
  <si>
    <t>M6754073</t>
  </si>
  <si>
    <t>M6754081</t>
  </si>
  <si>
    <t>M6758669</t>
  </si>
  <si>
    <t>M6754219</t>
  </si>
  <si>
    <t>M6754222</t>
  </si>
  <si>
    <t>M6754329</t>
  </si>
  <si>
    <t>M6754330</t>
  </si>
  <si>
    <t>M6754331</t>
  </si>
  <si>
    <t>M6754332</t>
  </si>
  <si>
    <t>M6754333</t>
  </si>
  <si>
    <t>M6754071</t>
  </si>
  <si>
    <t>M6754077</t>
  </si>
  <si>
    <t>M6754191</t>
  </si>
  <si>
    <t>M6754210</t>
  </si>
  <si>
    <t>M6754211</t>
  </si>
  <si>
    <t>M6754213</t>
  </si>
  <si>
    <t>Model 911U</t>
  </si>
  <si>
    <t>Cast Iron ASTM A126 Gr B - Wye Strainer - Flanged Ends 125# - Made in USA - UL Approved for Fireline Service</t>
  </si>
  <si>
    <t>STD. SCREEN</t>
  </si>
  <si>
    <t>911U</t>
  </si>
  <si>
    <t>1/4" Perforations</t>
  </si>
  <si>
    <t>M6701667</t>
  </si>
  <si>
    <t>M6702454</t>
  </si>
  <si>
    <t>M6703053</t>
  </si>
  <si>
    <t>M6703410</t>
  </si>
  <si>
    <t>M6703772</t>
  </si>
  <si>
    <t>M6704232</t>
  </si>
  <si>
    <t>M6704626</t>
  </si>
  <si>
    <t>M6705083</t>
  </si>
  <si>
    <t>Model 595</t>
  </si>
  <si>
    <t>Cast Iron ASTM A126 Gr B - Basket Strainer - Flanged Ends 125# - Made in USA - UL Approved for Fireline Service</t>
  </si>
  <si>
    <t>M6702940</t>
  </si>
  <si>
    <t>M6703665</t>
  </si>
  <si>
    <t>M6704138</t>
  </si>
  <si>
    <t>M6704560</t>
  </si>
  <si>
    <t>M6705030</t>
  </si>
  <si>
    <t>Model 1011</t>
  </si>
  <si>
    <t>Cast Iron ASTM A126 Gr. B - Flanged Ends 125# - Made in USA</t>
  </si>
  <si>
    <t>COVER</t>
  </si>
  <si>
    <t>Knob Cover</t>
  </si>
  <si>
    <t>2 x 1-1/4</t>
  </si>
  <si>
    <t>50 x 32</t>
  </si>
  <si>
    <t>M6701532</t>
  </si>
  <si>
    <t>Start Up Screen Included</t>
  </si>
  <si>
    <t>2 x 1-1/2</t>
  </si>
  <si>
    <t>50 x 40</t>
  </si>
  <si>
    <t>M6701533</t>
  </si>
  <si>
    <t>2 x 2</t>
  </si>
  <si>
    <t>50 x 50</t>
  </si>
  <si>
    <t>M6701534</t>
  </si>
  <si>
    <t>2-1/2 x 2</t>
  </si>
  <si>
    <t>65 x 50</t>
  </si>
  <si>
    <t>M6701668</t>
  </si>
  <si>
    <t>2-1/2 x 2-1/2</t>
  </si>
  <si>
    <t>65 x 65</t>
  </si>
  <si>
    <t>M6701670</t>
  </si>
  <si>
    <t>3 x 2</t>
  </si>
  <si>
    <t>80 x 50</t>
  </si>
  <si>
    <t>M6702455</t>
  </si>
  <si>
    <t>3 x 2-1/2</t>
  </si>
  <si>
    <t>80 x 65</t>
  </si>
  <si>
    <t>M6702458</t>
  </si>
  <si>
    <t>3 x 3</t>
  </si>
  <si>
    <t>80 x 80</t>
  </si>
  <si>
    <t>M6702459</t>
  </si>
  <si>
    <t>4 x 3</t>
  </si>
  <si>
    <t>100 x 80</t>
  </si>
  <si>
    <t>M6703055</t>
  </si>
  <si>
    <t>4 x 4</t>
  </si>
  <si>
    <t>100 x 100</t>
  </si>
  <si>
    <t>M6703057</t>
  </si>
  <si>
    <t>5 x 4</t>
  </si>
  <si>
    <t>125 x 100</t>
  </si>
  <si>
    <t>M6703411</t>
  </si>
  <si>
    <t>5 x 5</t>
  </si>
  <si>
    <t>125 x 125</t>
  </si>
  <si>
    <t>M6703413</t>
  </si>
  <si>
    <t>6 x 4</t>
  </si>
  <si>
    <t>150 x 100</t>
  </si>
  <si>
    <t>M6703773</t>
  </si>
  <si>
    <t>6 x 5</t>
  </si>
  <si>
    <t>150 x 125</t>
  </si>
  <si>
    <t>M6703776</t>
  </si>
  <si>
    <t>6 x 6</t>
  </si>
  <si>
    <t>150 x 150</t>
  </si>
  <si>
    <t>M6703779</t>
  </si>
  <si>
    <t>8 x 6</t>
  </si>
  <si>
    <t>200 x 150</t>
  </si>
  <si>
    <t>M6704240</t>
  </si>
  <si>
    <t>8 x 8</t>
  </si>
  <si>
    <t>200 x 200</t>
  </si>
  <si>
    <t>M6704243</t>
  </si>
  <si>
    <t>Bolted Cover</t>
  </si>
  <si>
    <t>10 x 8</t>
  </si>
  <si>
    <t>250 x 200</t>
  </si>
  <si>
    <t>M6704631</t>
  </si>
  <si>
    <t>10 x 10</t>
  </si>
  <si>
    <t>250 x 250</t>
  </si>
  <si>
    <t>M6704628</t>
  </si>
  <si>
    <t>12 x 8</t>
  </si>
  <si>
    <t>300 x 200</t>
  </si>
  <si>
    <t>M6705088</t>
  </si>
  <si>
    <t>12 x 10</t>
  </si>
  <si>
    <t>300 x 250</t>
  </si>
  <si>
    <t>M6705085</t>
  </si>
  <si>
    <t>12 x 12</t>
  </si>
  <si>
    <t>300 x 300</t>
  </si>
  <si>
    <t>M6705087</t>
  </si>
  <si>
    <t>14 x 10</t>
  </si>
  <si>
    <t>350 x 250</t>
  </si>
  <si>
    <t>M6705365</t>
  </si>
  <si>
    <t>14 x 12</t>
  </si>
  <si>
    <t>350 x 300</t>
  </si>
  <si>
    <t>M6705366</t>
  </si>
  <si>
    <t>14 x 14</t>
  </si>
  <si>
    <t>350 x 350</t>
  </si>
  <si>
    <t>M6705367</t>
  </si>
  <si>
    <t>16 x 10</t>
  </si>
  <si>
    <t>400 x 250</t>
  </si>
  <si>
    <t>M6746643</t>
  </si>
  <si>
    <t>16 x 12</t>
  </si>
  <si>
    <t>400 x 300</t>
  </si>
  <si>
    <t>M6705584</t>
  </si>
  <si>
    <t>16 x 14</t>
  </si>
  <si>
    <t>400 x 350</t>
  </si>
  <si>
    <t>M6705585</t>
  </si>
  <si>
    <t>16 x 16</t>
  </si>
  <si>
    <t>400 x 400</t>
  </si>
  <si>
    <t>M6705586</t>
  </si>
  <si>
    <t>Model 1012</t>
  </si>
  <si>
    <t>Ductile Iron ASTM A395 - Flanged Ends 300# - Made in USA</t>
  </si>
  <si>
    <t>M6701535</t>
  </si>
  <si>
    <t>M6702457</t>
  </si>
  <si>
    <t>M6726029</t>
  </si>
  <si>
    <t>M6727342</t>
  </si>
  <si>
    <t>M6732662</t>
  </si>
  <si>
    <t>M6703059</t>
  </si>
  <si>
    <t>M6703412</t>
  </si>
  <si>
    <t>M6703775</t>
  </si>
  <si>
    <t>M6703778</t>
  </si>
  <si>
    <t>M6703781</t>
  </si>
  <si>
    <t>M6704242</t>
  </si>
  <si>
    <t>M6704244</t>
  </si>
  <si>
    <t>M6704632</t>
  </si>
  <si>
    <t>M6704629</t>
  </si>
  <si>
    <t>Larger sizes available on request</t>
  </si>
  <si>
    <t>Orings</t>
  </si>
  <si>
    <t>M6723293</t>
  </si>
  <si>
    <t>M6723427</t>
  </si>
  <si>
    <t>M6723844</t>
  </si>
  <si>
    <t>M6724183</t>
  </si>
  <si>
    <t>M6724401</t>
  </si>
  <si>
    <t>M6724587</t>
  </si>
  <si>
    <t>M6724901</t>
  </si>
  <si>
    <t>M6725146</t>
  </si>
  <si>
    <t>M6725297</t>
  </si>
  <si>
    <t>Screens</t>
  </si>
  <si>
    <t>M6716196</t>
  </si>
  <si>
    <t>M6716199</t>
  </si>
  <si>
    <t>M6701589</t>
  </si>
  <si>
    <t>M6711689</t>
  </si>
  <si>
    <t>M6711723</t>
  </si>
  <si>
    <t>M6713412</t>
  </si>
  <si>
    <t>M6712919</t>
  </si>
  <si>
    <t>M6712306</t>
  </si>
  <si>
    <t>M6711042</t>
  </si>
  <si>
    <t>M6712139</t>
  </si>
  <si>
    <t>M6711453</t>
  </si>
  <si>
    <t>Model 1011G</t>
  </si>
  <si>
    <t>Cast Iron ASTM A126 Gr. B - Grooved Ends - Made in USA</t>
  </si>
  <si>
    <t>1011G</t>
  </si>
  <si>
    <t xml:space="preserve">Grooved </t>
  </si>
  <si>
    <t>M6727241</t>
  </si>
  <si>
    <t>M6740824</t>
  </si>
  <si>
    <t>M6701669</t>
  </si>
  <si>
    <t>M6702456</t>
  </si>
  <si>
    <t>M6727341</t>
  </si>
  <si>
    <t>M6702460</t>
  </si>
  <si>
    <t>M6703056</t>
  </si>
  <si>
    <t>M6703058</t>
  </si>
  <si>
    <t>M6703414</t>
  </si>
  <si>
    <t>M6703774</t>
  </si>
  <si>
    <t>M6703777</t>
  </si>
  <si>
    <t>M6703780</t>
  </si>
  <si>
    <t>M6704241</t>
  </si>
  <si>
    <t>M6729978</t>
  </si>
  <si>
    <t>M6730322</t>
  </si>
  <si>
    <t>M6713627</t>
  </si>
  <si>
    <t>Model 721</t>
  </si>
  <si>
    <t>Cast Iron ASTM A126 Gr B - Flanged Ends 125# - Made in USA</t>
  </si>
  <si>
    <t>M6701456</t>
  </si>
  <si>
    <t>M6701632</t>
  </si>
  <si>
    <t>M6702388</t>
  </si>
  <si>
    <t>M6703000</t>
  </si>
  <si>
    <t>M6703394</t>
  </si>
  <si>
    <t>M6703729</t>
  </si>
  <si>
    <t>M6704204</t>
  </si>
  <si>
    <t>M6704612</t>
  </si>
  <si>
    <t>M6705068</t>
  </si>
  <si>
    <t>M6705359</t>
  </si>
  <si>
    <t>M6707785</t>
  </si>
  <si>
    <t>M6707317</t>
  </si>
  <si>
    <t>M6737689</t>
  </si>
  <si>
    <t>Model 721-N</t>
  </si>
  <si>
    <t>Cast Iron ASTM A126 Gr B - Flanged Ends 125# - Imported</t>
  </si>
  <si>
    <t>721-N</t>
  </si>
  <si>
    <t>M6741733</t>
  </si>
  <si>
    <t>M6741734</t>
  </si>
  <si>
    <t>M6741735</t>
  </si>
  <si>
    <t>M6741736</t>
  </si>
  <si>
    <t>M6741737</t>
  </si>
  <si>
    <t>M6741738</t>
  </si>
  <si>
    <t>M6741739</t>
  </si>
  <si>
    <t>M6741740</t>
  </si>
  <si>
    <t>M6741741</t>
  </si>
  <si>
    <t>M6741742</t>
  </si>
  <si>
    <t>Model 722</t>
  </si>
  <si>
    <t>M6701457</t>
  </si>
  <si>
    <t>M6729937</t>
  </si>
  <si>
    <t>M6702389</t>
  </si>
  <si>
    <t>M6703001</t>
  </si>
  <si>
    <t>M6703395</t>
  </si>
  <si>
    <t>M6703730</t>
  </si>
  <si>
    <t>M6704205</t>
  </si>
  <si>
    <t>M6704613</t>
  </si>
  <si>
    <t>M6705069</t>
  </si>
  <si>
    <t>M6727590</t>
  </si>
  <si>
    <t>Model 722G</t>
  </si>
  <si>
    <t>Ductile Iron ASTM A395 - Grooved Ends - Made in USA</t>
  </si>
  <si>
    <t>722G</t>
  </si>
  <si>
    <t>Grooved Ends</t>
  </si>
  <si>
    <t>M6701458</t>
  </si>
  <si>
    <t>M6701633</t>
  </si>
  <si>
    <t>M6702390</t>
  </si>
  <si>
    <t>M6703002</t>
  </si>
  <si>
    <t>M6703396</t>
  </si>
  <si>
    <t>M6703731</t>
  </si>
  <si>
    <t>M6704206</t>
  </si>
  <si>
    <t>M6704614</t>
  </si>
  <si>
    <t>M6730724</t>
  </si>
  <si>
    <t>M6718353</t>
  </si>
  <si>
    <t>Model 71</t>
  </si>
  <si>
    <t>Cast Iron Body ASTM A126 Gr. B - Wafer Style - Made in USA</t>
  </si>
  <si>
    <t>STD TRIM</t>
  </si>
  <si>
    <t>Disc</t>
  </si>
  <si>
    <t>Seat</t>
  </si>
  <si>
    <t>Spring</t>
  </si>
  <si>
    <t>71-AHH-3H</t>
  </si>
  <si>
    <t>316SS</t>
  </si>
  <si>
    <t>Buna-N</t>
  </si>
  <si>
    <t>M6701429</t>
  </si>
  <si>
    <t>M6701621</t>
  </si>
  <si>
    <t>M6702356</t>
  </si>
  <si>
    <t>M6702960</t>
  </si>
  <si>
    <t>M6703384</t>
  </si>
  <si>
    <t>M6703689</t>
  </si>
  <si>
    <t>M6704175</t>
  </si>
  <si>
    <t>M6704584</t>
  </si>
  <si>
    <t>M6705046</t>
  </si>
  <si>
    <t>M6705344</t>
  </si>
  <si>
    <t>M6705566</t>
  </si>
  <si>
    <t>M6705758</t>
  </si>
  <si>
    <t>M6705880</t>
  </si>
  <si>
    <t>M6706037</t>
  </si>
  <si>
    <t>M6706177</t>
  </si>
  <si>
    <t>71-AHH-3W</t>
  </si>
  <si>
    <t>Inconel</t>
  </si>
  <si>
    <t>M6736600</t>
  </si>
  <si>
    <t>M6702357</t>
  </si>
  <si>
    <t>M6736601</t>
  </si>
  <si>
    <t>M6747685</t>
  </si>
  <si>
    <t>M6753667</t>
  </si>
  <si>
    <t>M6760340</t>
  </si>
  <si>
    <t>Model 71-N</t>
  </si>
  <si>
    <t>Cast Iron Body ASTM A126 Gr. B - Wafer Style - Imported</t>
  </si>
  <si>
    <t>71-AHH-3H-N</t>
  </si>
  <si>
    <t>M6740583</t>
  </si>
  <si>
    <t>M6740584</t>
  </si>
  <si>
    <t>M6740585</t>
  </si>
  <si>
    <t>M6740586</t>
  </si>
  <si>
    <t>M6740587</t>
  </si>
  <si>
    <t>M6740588</t>
  </si>
  <si>
    <t>M6740589</t>
  </si>
  <si>
    <t>M6740590</t>
  </si>
  <si>
    <t>M6740591</t>
  </si>
  <si>
    <t>Model 71U</t>
  </si>
  <si>
    <t>Cast Iron Body ASTM A126 Gr. B - Wafer Style - UL Approved - Made in USA</t>
  </si>
  <si>
    <t>71-AHB-3H</t>
  </si>
  <si>
    <t>M6702966</t>
  </si>
  <si>
    <t>M6703697</t>
  </si>
  <si>
    <t>M6704181</t>
  </si>
  <si>
    <t>M6704589</t>
  </si>
  <si>
    <t>M6705051</t>
  </si>
  <si>
    <t>Model 72</t>
  </si>
  <si>
    <t>Wafer Style - Made in USA</t>
  </si>
  <si>
    <t>72-IHH-3H</t>
  </si>
  <si>
    <t>Ductile Iron A395</t>
  </si>
  <si>
    <t>M6701455</t>
  </si>
  <si>
    <t>M6727247</t>
  </si>
  <si>
    <t>M6702387</t>
  </si>
  <si>
    <t>M6702996</t>
  </si>
  <si>
    <t>M6727439</t>
  </si>
  <si>
    <t>M6703725</t>
  </si>
  <si>
    <t>M6704202</t>
  </si>
  <si>
    <t>M6704608</t>
  </si>
  <si>
    <t>M6705066</t>
  </si>
  <si>
    <t>M6705357</t>
  </si>
  <si>
    <t>M6758890</t>
  </si>
  <si>
    <t>M6743776</t>
  </si>
  <si>
    <t>M6743775</t>
  </si>
  <si>
    <t>72-IHH-3W</t>
  </si>
  <si>
    <t>M6747996</t>
  </si>
  <si>
    <t>72-DHH-3H</t>
  </si>
  <si>
    <t>Carbon Steel, ASTM WCB</t>
  </si>
  <si>
    <t>M6701445</t>
  </si>
  <si>
    <t>M6701627</t>
  </si>
  <si>
    <t>M6702374</t>
  </si>
  <si>
    <t>M6702980</t>
  </si>
  <si>
    <t>M6703389</t>
  </si>
  <si>
    <t>M6703711</t>
  </si>
  <si>
    <t>M6704190</t>
  </si>
  <si>
    <t>M6704598</t>
  </si>
  <si>
    <t>M6705058</t>
  </si>
  <si>
    <t>M6705352</t>
  </si>
  <si>
    <t>M6736208</t>
  </si>
  <si>
    <t>M6705762</t>
  </si>
  <si>
    <t>M6735734</t>
  </si>
  <si>
    <t>M6736524</t>
  </si>
  <si>
    <t>72-DHH-3W</t>
  </si>
  <si>
    <t>M6751340</t>
  </si>
  <si>
    <t>72-HHH-3H</t>
  </si>
  <si>
    <t>Stainless Steel, ASTM A351 CF8M</t>
  </si>
  <si>
    <t>M6701450</t>
  </si>
  <si>
    <t>M6701629</t>
  </si>
  <si>
    <t>M6702381</t>
  </si>
  <si>
    <t>M6702988</t>
  </si>
  <si>
    <t>M6703391</t>
  </si>
  <si>
    <t>M6703718</t>
  </si>
  <si>
    <t>M6704196</t>
  </si>
  <si>
    <t>M6704603</t>
  </si>
  <si>
    <t>M6705062</t>
  </si>
  <si>
    <t>M6705354</t>
  </si>
  <si>
    <t>M6705574</t>
  </si>
  <si>
    <t>M6730345</t>
  </si>
  <si>
    <t>72-HHH-3W</t>
  </si>
  <si>
    <t>M6702989</t>
  </si>
  <si>
    <t>M6730723</t>
  </si>
  <si>
    <t>M6704197</t>
  </si>
  <si>
    <t>M6704604</t>
  </si>
  <si>
    <t>Model 74</t>
  </si>
  <si>
    <t>74-IHH-3H</t>
  </si>
  <si>
    <t>M6738484</t>
  </si>
  <si>
    <t>M6734344</t>
  </si>
  <si>
    <t>M6747583</t>
  </si>
  <si>
    <t>M6746328</t>
  </si>
  <si>
    <t>M6738839</t>
  </si>
  <si>
    <t>M6753723</t>
  </si>
  <si>
    <t>M6748000</t>
  </si>
  <si>
    <t>M6761741</t>
  </si>
  <si>
    <t>M6746072</t>
  </si>
  <si>
    <t>M6748387</t>
  </si>
  <si>
    <t>M6756742</t>
  </si>
  <si>
    <t>74-DHH-3H</t>
  </si>
  <si>
    <t>M6730458</t>
  </si>
  <si>
    <t>M6733913</t>
  </si>
  <si>
    <t>M6702395</t>
  </si>
  <si>
    <t>M6703006</t>
  </si>
  <si>
    <t>M6703736</t>
  </si>
  <si>
    <t>M6704209</t>
  </si>
  <si>
    <t>M6730139</t>
  </si>
  <si>
    <t>M6705073</t>
  </si>
  <si>
    <t>M6732178</t>
  </si>
  <si>
    <t>M6705578</t>
  </si>
  <si>
    <t>74-HHH-3H</t>
  </si>
  <si>
    <t>M6701465</t>
  </si>
  <si>
    <t>M6738491</t>
  </si>
  <si>
    <t>M6702400</t>
  </si>
  <si>
    <t>M6703012</t>
  </si>
  <si>
    <t>M6703741</t>
  </si>
  <si>
    <t>M6704213</t>
  </si>
  <si>
    <t>M6734407</t>
  </si>
  <si>
    <t>M6739900</t>
  </si>
  <si>
    <t>74-HHH-3W</t>
  </si>
  <si>
    <t>M6701464</t>
  </si>
  <si>
    <t>M6736999</t>
  </si>
  <si>
    <t>M6703011</t>
  </si>
  <si>
    <t>M6739204</t>
  </si>
  <si>
    <t>Model 74G</t>
  </si>
  <si>
    <t>74G-IHB-3H</t>
  </si>
  <si>
    <t>M6702396</t>
  </si>
  <si>
    <t>M6703008</t>
  </si>
  <si>
    <t>M6703739</t>
  </si>
  <si>
    <t>M6704210</t>
  </si>
  <si>
    <t>M6704616</t>
  </si>
  <si>
    <t>M6705074</t>
  </si>
  <si>
    <t>Model 71/72/74</t>
  </si>
  <si>
    <t>Spare Parts for ALL Double Disc Check Valves</t>
  </si>
  <si>
    <t>71/72/74</t>
  </si>
  <si>
    <t>Spring - 316SS</t>
  </si>
  <si>
    <t>M6723200</t>
  </si>
  <si>
    <t>M6723368</t>
  </si>
  <si>
    <t>M6723797</t>
  </si>
  <si>
    <t>M6727402</t>
  </si>
  <si>
    <t>M6724375</t>
  </si>
  <si>
    <t>M6724532</t>
  </si>
  <si>
    <t>M6724851</t>
  </si>
  <si>
    <t>M6704694</t>
  </si>
  <si>
    <t>M6705132</t>
  </si>
  <si>
    <t>M6705607</t>
  </si>
  <si>
    <t>M6705786</t>
  </si>
  <si>
    <t>M6705896</t>
  </si>
  <si>
    <t>M6706064</t>
  </si>
  <si>
    <t>M6706187</t>
  </si>
  <si>
    <t>Spring - Inconel</t>
  </si>
  <si>
    <t>M6723215</t>
  </si>
  <si>
    <t>M6723372</t>
  </si>
  <si>
    <t>M6723801</t>
  </si>
  <si>
    <t>M6724112</t>
  </si>
  <si>
    <t>M6724534</t>
  </si>
  <si>
    <t>M6724856</t>
  </si>
  <si>
    <t>M6704700</t>
  </si>
  <si>
    <t>M6705136</t>
  </si>
  <si>
    <t>M6729988</t>
  </si>
  <si>
    <t>M6730076</t>
  </si>
  <si>
    <t>M6723862</t>
  </si>
  <si>
    <t>M6729895</t>
  </si>
  <si>
    <t>M6724414</t>
  </si>
  <si>
    <t>M6724609</t>
  </si>
  <si>
    <t>M6724928</t>
  </si>
  <si>
    <t>M6704693</t>
  </si>
  <si>
    <t>M6729850</t>
  </si>
  <si>
    <t>M6705385</t>
  </si>
  <si>
    <t>M6705605</t>
  </si>
  <si>
    <t>M6705784</t>
  </si>
  <si>
    <t>M6705894</t>
  </si>
  <si>
    <t>M6706062</t>
  </si>
  <si>
    <t>M6706185</t>
  </si>
  <si>
    <t>Model 1600D</t>
  </si>
  <si>
    <t>Cast Iron Body ASTM A126 Gr. B - Made in USA</t>
  </si>
  <si>
    <t>SEAL</t>
  </si>
  <si>
    <t>1600D</t>
  </si>
  <si>
    <t>M6708372</t>
  </si>
  <si>
    <t>M6730626</t>
  </si>
  <si>
    <t>M6708373</t>
  </si>
  <si>
    <t>M6708375</t>
  </si>
  <si>
    <t>M6708377</t>
  </si>
  <si>
    <t>M6708379</t>
  </si>
  <si>
    <t>M6708380</t>
  </si>
  <si>
    <t>M6708382</t>
  </si>
  <si>
    <t>M6708383</t>
  </si>
  <si>
    <t>M6727743</t>
  </si>
  <si>
    <t>M6708940</t>
  </si>
  <si>
    <t>Model 1602D</t>
  </si>
  <si>
    <t>1602D</t>
  </si>
  <si>
    <t>M6708374</t>
  </si>
  <si>
    <t>M6708376</t>
  </si>
  <si>
    <t>M6708378</t>
  </si>
  <si>
    <t>M6739294</t>
  </si>
  <si>
    <t>M6708381</t>
  </si>
  <si>
    <t>Model 1601A</t>
  </si>
  <si>
    <t>Carbon Steel Body ASTM WCB - Made in USA</t>
  </si>
  <si>
    <t>1601A</t>
  </si>
  <si>
    <t>M6708285</t>
  </si>
  <si>
    <t>M6708288</t>
  </si>
  <si>
    <t>M6708289</t>
  </si>
  <si>
    <t>M6708291</t>
  </si>
  <si>
    <t>M6708294</t>
  </si>
  <si>
    <t>M6708295</t>
  </si>
  <si>
    <t>M6708298</t>
  </si>
  <si>
    <t>M6708301</t>
  </si>
  <si>
    <t>M6708304</t>
  </si>
  <si>
    <t>Model 1601AC</t>
  </si>
  <si>
    <t>Carbon Steel Body ASTM WCB - 316SS trim - PTFE Seal - Made in USA</t>
  </si>
  <si>
    <t>1601AC</t>
  </si>
  <si>
    <t>PTFE</t>
  </si>
  <si>
    <t>M6708331</t>
  </si>
  <si>
    <t>M6708333</t>
  </si>
  <si>
    <t>M6708335</t>
  </si>
  <si>
    <t>M6708338</t>
  </si>
  <si>
    <t>M6708341</t>
  </si>
  <si>
    <t>M6708343</t>
  </si>
  <si>
    <t>M6708346</t>
  </si>
  <si>
    <t>M6708349</t>
  </si>
  <si>
    <t>M6708351</t>
  </si>
  <si>
    <t>M6708286</t>
  </si>
  <si>
    <t>M6708290</t>
  </si>
  <si>
    <t>Model 1603AC</t>
  </si>
  <si>
    <t>1603AC</t>
  </si>
  <si>
    <t>M6708332</t>
  </si>
  <si>
    <t>M6708334</t>
  </si>
  <si>
    <t>M6708336</t>
  </si>
  <si>
    <t>M6708339</t>
  </si>
  <si>
    <t>M6708344</t>
  </si>
  <si>
    <t>M6727740</t>
  </si>
  <si>
    <t>M6743662</t>
  </si>
  <si>
    <t>M6762302</t>
  </si>
  <si>
    <t>Model 1605A</t>
  </si>
  <si>
    <t>1605A</t>
  </si>
  <si>
    <t>M6708293</t>
  </si>
  <si>
    <t>M6708297</t>
  </si>
  <si>
    <t>M6708300</t>
  </si>
  <si>
    <t>M6708303</t>
  </si>
  <si>
    <t>M6755532</t>
  </si>
  <si>
    <t>Model 1605AC</t>
  </si>
  <si>
    <t>1605AC</t>
  </si>
  <si>
    <t>M6708340</t>
  </si>
  <si>
    <t>M6708345</t>
  </si>
  <si>
    <t>M6708347</t>
  </si>
  <si>
    <t>M6708352</t>
  </si>
  <si>
    <t>Model 1601C</t>
  </si>
  <si>
    <t>Stainless Steel A351 CF8M - Made in USA</t>
  </si>
  <si>
    <t>1601C</t>
  </si>
  <si>
    <t>M6708356</t>
  </si>
  <si>
    <t>M6708358</t>
  </si>
  <si>
    <t>M6708359</t>
  </si>
  <si>
    <t>M6708361</t>
  </si>
  <si>
    <t>M6708363</t>
  </si>
  <si>
    <t>M6708364</t>
  </si>
  <si>
    <t>M6708366</t>
  </si>
  <si>
    <t>M6708367</t>
  </si>
  <si>
    <t>M6708369</t>
  </si>
  <si>
    <t>Model 1603C</t>
  </si>
  <si>
    <t>1603C</t>
  </si>
  <si>
    <t>M6708357</t>
  </si>
  <si>
    <t>M6708360</t>
  </si>
  <si>
    <t>M6708362</t>
  </si>
  <si>
    <t>M6708365</t>
  </si>
  <si>
    <t>M6732688</t>
  </si>
  <si>
    <t>M6708368</t>
  </si>
  <si>
    <t>M6734249</t>
  </si>
  <si>
    <t>Model 91A &amp; 92A</t>
  </si>
  <si>
    <t>Cast Iron Body ASTM A126 Gr. B - Compact Wafer Style - Made in USA</t>
  </si>
  <si>
    <t>91AT</t>
  </si>
  <si>
    <t>M6700796</t>
  </si>
  <si>
    <t>M6701530</t>
  </si>
  <si>
    <t>M6701665</t>
  </si>
  <si>
    <t>M6702451</t>
  </si>
  <si>
    <t>M6703049</t>
  </si>
  <si>
    <t>M6703409</t>
  </si>
  <si>
    <t>M6703771</t>
  </si>
  <si>
    <t>92AT</t>
  </si>
  <si>
    <t>M6704235</t>
  </si>
  <si>
    <t>M6737621</t>
  </si>
  <si>
    <t>M6747426</t>
  </si>
  <si>
    <t>Model 91A-N &amp; 92A-N</t>
  </si>
  <si>
    <t>Cast Iron Body ASTM A126 Gr. B - Compact Wafer Style - Imported</t>
  </si>
  <si>
    <t>M6710750</t>
  </si>
  <si>
    <t>M6741054</t>
  </si>
  <si>
    <t>M6741055</t>
  </si>
  <si>
    <t>M6741056</t>
  </si>
  <si>
    <t>M6741057</t>
  </si>
  <si>
    <t>M6741058</t>
  </si>
  <si>
    <t>M6741059</t>
  </si>
  <si>
    <t>M6741060</t>
  </si>
  <si>
    <t>M6741061</t>
  </si>
  <si>
    <t>M6741062</t>
  </si>
  <si>
    <t>Model 303</t>
  </si>
  <si>
    <t>Threaded - Made in USA</t>
  </si>
  <si>
    <t>303AP</t>
  </si>
  <si>
    <t>Cast Iron ASTM A126 Gr. B</t>
  </si>
  <si>
    <t>EPDM</t>
  </si>
  <si>
    <t>M6700103</t>
  </si>
  <si>
    <t>M6700121</t>
  </si>
  <si>
    <t>M6700146</t>
  </si>
  <si>
    <t>M6700197</t>
  </si>
  <si>
    <t>M6700568</t>
  </si>
  <si>
    <t>M6700657</t>
  </si>
  <si>
    <t>M6700722</t>
  </si>
  <si>
    <t>M6701339</t>
  </si>
  <si>
    <t>Model 101</t>
  </si>
  <si>
    <t>Full Flange Wafer - Made in USA</t>
  </si>
  <si>
    <t>101MAT</t>
  </si>
  <si>
    <t>M6749331</t>
  </si>
  <si>
    <t>M6746481</t>
  </si>
  <si>
    <t>M6700694</t>
  </si>
  <si>
    <t>M6701278</t>
  </si>
  <si>
    <t>M6701537</t>
  </si>
  <si>
    <t>M6702173</t>
  </si>
  <si>
    <t>M6702785</t>
  </si>
  <si>
    <t>M6703327</t>
  </si>
  <si>
    <t>M6703520</t>
  </si>
  <si>
    <t>M6704021</t>
  </si>
  <si>
    <t>M6704472</t>
  </si>
  <si>
    <t>101MDT</t>
  </si>
  <si>
    <t>M6700549</t>
  </si>
  <si>
    <t>M6700695</t>
  </si>
  <si>
    <t>M6701280</t>
  </si>
  <si>
    <t>M6701539</t>
  </si>
  <si>
    <t>M6702175</t>
  </si>
  <si>
    <t>M6702787</t>
  </si>
  <si>
    <t>M6730002</t>
  </si>
  <si>
    <t>M6703522</t>
  </si>
  <si>
    <t>M6704022</t>
  </si>
  <si>
    <t>M6704474</t>
  </si>
  <si>
    <t>101MHT</t>
  </si>
  <si>
    <t>M6700696</t>
  </si>
  <si>
    <t>M6701282</t>
  </si>
  <si>
    <t>M6701540</t>
  </si>
  <si>
    <t>M6702176</t>
  </si>
  <si>
    <t>M6702788</t>
  </si>
  <si>
    <t>M6703329</t>
  </si>
  <si>
    <t>M6703525</t>
  </si>
  <si>
    <t>M6704024</t>
  </si>
  <si>
    <t>M6704475</t>
  </si>
  <si>
    <t>M6701279</t>
  </si>
  <si>
    <t>M6701538</t>
  </si>
  <si>
    <t>M6702174</t>
  </si>
  <si>
    <t>M6702786</t>
  </si>
  <si>
    <t>M6703328</t>
  </si>
  <si>
    <t>M6703521</t>
  </si>
  <si>
    <t>M6704473</t>
  </si>
  <si>
    <t>Model 105</t>
  </si>
  <si>
    <t>Flange Globe Type - Made in USA</t>
  </si>
  <si>
    <t>105MAT</t>
  </si>
  <si>
    <t>M6701288</t>
  </si>
  <si>
    <t>M6701546</t>
  </si>
  <si>
    <t>M6702185</t>
  </si>
  <si>
    <t>M6702794</t>
  </si>
  <si>
    <t>M6744954</t>
  </si>
  <si>
    <t>M6703532</t>
  </si>
  <si>
    <t>M6704028</t>
  </si>
  <si>
    <t>M6704479</t>
  </si>
  <si>
    <t>M6704980</t>
  </si>
  <si>
    <t>M6705305</t>
  </si>
  <si>
    <t>M6705541</t>
  </si>
  <si>
    <t>M6748614</t>
  </si>
  <si>
    <t>M6751443</t>
  </si>
  <si>
    <t>M6738190</t>
  </si>
  <si>
    <t>105MDT</t>
  </si>
  <si>
    <t>M6701290</t>
  </si>
  <si>
    <t>M6701547</t>
  </si>
  <si>
    <t>M6702188</t>
  </si>
  <si>
    <t>M6702798</t>
  </si>
  <si>
    <t>M6703335</t>
  </si>
  <si>
    <t>M6703534</t>
  </si>
  <si>
    <t>M6704030</t>
  </si>
  <si>
    <t>M6704480</t>
  </si>
  <si>
    <t>M6704982</t>
  </si>
  <si>
    <t>M6705306</t>
  </si>
  <si>
    <t>M6705542</t>
  </si>
  <si>
    <t>M6705737</t>
  </si>
  <si>
    <t>105MHT</t>
  </si>
  <si>
    <t>M6701291</t>
  </si>
  <si>
    <t>M6701548</t>
  </si>
  <si>
    <t>M6702190</t>
  </si>
  <si>
    <t>M6702802</t>
  </si>
  <si>
    <t>M6703538</t>
  </si>
  <si>
    <t>M6704032</t>
  </si>
  <si>
    <t>M6704482</t>
  </si>
  <si>
    <t>M6704984</t>
  </si>
  <si>
    <t>Model 105-N</t>
  </si>
  <si>
    <t>Flange Globe Type - Imported</t>
  </si>
  <si>
    <t>105MAT-N</t>
  </si>
  <si>
    <t>M6741044</t>
  </si>
  <si>
    <t>M6741045</t>
  </si>
  <si>
    <t>M6741046</t>
  </si>
  <si>
    <t>M6741047</t>
  </si>
  <si>
    <t>M6741048</t>
  </si>
  <si>
    <t>M6741049</t>
  </si>
  <si>
    <t>M6741050</t>
  </si>
  <si>
    <t>M6741051</t>
  </si>
  <si>
    <t>M6741052</t>
  </si>
  <si>
    <t>M6747425</t>
  </si>
  <si>
    <t>Model 103</t>
  </si>
  <si>
    <t>103MAT</t>
  </si>
  <si>
    <t>M6751439</t>
  </si>
  <si>
    <t>M6736066</t>
  </si>
  <si>
    <t>M6748629</t>
  </si>
  <si>
    <t>M6701284</t>
  </si>
  <si>
    <t>M6701542</t>
  </si>
  <si>
    <t>M6702179</t>
  </si>
  <si>
    <t>M6741064</t>
  </si>
  <si>
    <t>M6703331</t>
  </si>
  <si>
    <t>M6703527</t>
  </si>
  <si>
    <t>103MDT</t>
  </si>
  <si>
    <t>M6706682</t>
  </si>
  <si>
    <t>M6700644</t>
  </si>
  <si>
    <t>M6700698</t>
  </si>
  <si>
    <t>M6701285</t>
  </si>
  <si>
    <t>M6701543</t>
  </si>
  <si>
    <t>M6702181</t>
  </si>
  <si>
    <t>M6702791</t>
  </si>
  <si>
    <t>M6703332</t>
  </si>
  <si>
    <t>M6703528</t>
  </si>
  <si>
    <t>M6704025</t>
  </si>
  <si>
    <t>M6704476</t>
  </si>
  <si>
    <t>103MHT</t>
  </si>
  <si>
    <t>M6700553</t>
  </si>
  <si>
    <t>M6700699</t>
  </si>
  <si>
    <t>M6735707</t>
  </si>
  <si>
    <t>M6757987</t>
  </si>
  <si>
    <t>M6702182</t>
  </si>
  <si>
    <t>M6756515</t>
  </si>
  <si>
    <t>M6703529</t>
  </si>
  <si>
    <t>Model 107</t>
  </si>
  <si>
    <t>107MAT</t>
  </si>
  <si>
    <t>M6727225</t>
  </si>
  <si>
    <t>M6744479</t>
  </si>
  <si>
    <t>M6702192</t>
  </si>
  <si>
    <t>M6702805</t>
  </si>
  <si>
    <t>M6703337</t>
  </si>
  <si>
    <t>M6703540</t>
  </si>
  <si>
    <t>M6704034</t>
  </si>
  <si>
    <t>M6704485</t>
  </si>
  <si>
    <t>M6704986</t>
  </si>
  <si>
    <t>M6705307</t>
  </si>
  <si>
    <t>M6705544</t>
  </si>
  <si>
    <t>M6752757</t>
  </si>
  <si>
    <t>Model 109</t>
  </si>
  <si>
    <t>109MDT</t>
  </si>
  <si>
    <t>109MHT</t>
  </si>
  <si>
    <t>Model 88</t>
  </si>
  <si>
    <t>Ductile Iron Body ASTM A395 - Lug Style - Imported</t>
  </si>
  <si>
    <t>OPERATOR</t>
  </si>
  <si>
    <t>Stem</t>
  </si>
  <si>
    <t>88IHH6</t>
  </si>
  <si>
    <t>Lever</t>
  </si>
  <si>
    <t>M6717867</t>
  </si>
  <si>
    <t>M6717868</t>
  </si>
  <si>
    <t>M6717869</t>
  </si>
  <si>
    <t>Gear</t>
  </si>
  <si>
    <t>M6740033</t>
  </si>
  <si>
    <t>M6717870</t>
  </si>
  <si>
    <t>M6717871</t>
  </si>
  <si>
    <t>M6717872</t>
  </si>
  <si>
    <t>M6717873</t>
  </si>
  <si>
    <t>M6717874</t>
  </si>
  <si>
    <t>M6717892</t>
  </si>
  <si>
    <t>M6763208</t>
  </si>
  <si>
    <t>M6763210</t>
  </si>
  <si>
    <t>M6763211</t>
  </si>
  <si>
    <t>M6763212</t>
  </si>
  <si>
    <t>M6763213</t>
  </si>
  <si>
    <t>Model 90</t>
  </si>
  <si>
    <t>Cast Carbon Steel ASTM WCB - Lug Style High Performance - Imported</t>
  </si>
  <si>
    <t>90CHH8</t>
  </si>
  <si>
    <t>RPTFE</t>
  </si>
  <si>
    <t>M6763454</t>
  </si>
  <si>
    <t>M6762458</t>
  </si>
  <si>
    <t>M6763455</t>
  </si>
  <si>
    <t>M6762459</t>
  </si>
  <si>
    <t>M6763456</t>
  </si>
  <si>
    <t>M6762460</t>
  </si>
  <si>
    <t>M6762461</t>
  </si>
  <si>
    <t>M6762462</t>
  </si>
  <si>
    <t>M6762463</t>
  </si>
  <si>
    <t>M6762466</t>
  </si>
  <si>
    <t>M6762467</t>
  </si>
  <si>
    <t>M6762468</t>
  </si>
  <si>
    <t>M6762469</t>
  </si>
  <si>
    <t>M6762472</t>
  </si>
  <si>
    <t>M6762473</t>
  </si>
  <si>
    <t>M6762474</t>
  </si>
  <si>
    <t>M6762475</t>
  </si>
  <si>
    <t>M6762476</t>
  </si>
  <si>
    <t>M6762477</t>
  </si>
  <si>
    <t>M6762478</t>
  </si>
  <si>
    <t>M6762479</t>
  </si>
  <si>
    <t>M6730219</t>
  </si>
  <si>
    <t>M6720960</t>
  </si>
  <si>
    <t>M6761110</t>
  </si>
  <si>
    <t>M6760349</t>
  </si>
  <si>
    <t>M6751311</t>
  </si>
  <si>
    <t>M6709718</t>
  </si>
  <si>
    <t>M6715468</t>
  </si>
  <si>
    <t>M6709923</t>
  </si>
  <si>
    <t>M6712259</t>
  </si>
  <si>
    <t>M6710646</t>
  </si>
  <si>
    <t>M6710552</t>
  </si>
  <si>
    <t>M6709596</t>
  </si>
  <si>
    <t>M6709645</t>
  </si>
  <si>
    <t>M6711246</t>
  </si>
  <si>
    <t>M6711187</t>
  </si>
  <si>
    <t>M6718007</t>
  </si>
  <si>
    <t>M6716125</t>
  </si>
  <si>
    <t>M6719170</t>
  </si>
  <si>
    <t>M6721845</t>
  </si>
  <si>
    <t>M6756205</t>
  </si>
  <si>
    <t>M6744277</t>
  </si>
  <si>
    <t>M6710550</t>
  </si>
  <si>
    <t>M6718630</t>
  </si>
  <si>
    <t>M6750110</t>
  </si>
  <si>
    <t>M6718860</t>
  </si>
  <si>
    <t>M6718639</t>
  </si>
  <si>
    <t>M6715281</t>
  </si>
  <si>
    <t>M6711523</t>
  </si>
  <si>
    <t>M6754263</t>
  </si>
  <si>
    <t>M6716784</t>
  </si>
  <si>
    <t>M6711615</t>
  </si>
  <si>
    <t>M6745439</t>
  </si>
  <si>
    <t>M6719133</t>
  </si>
  <si>
    <t>M6715011</t>
  </si>
  <si>
    <t>M6754271</t>
  </si>
  <si>
    <t>M6709933</t>
  </si>
  <si>
    <t>M6745480</t>
  </si>
  <si>
    <t>M6722142</t>
  </si>
  <si>
    <t>M6716753</t>
  </si>
  <si>
    <t>M6717687</t>
  </si>
  <si>
    <t>M6712777</t>
  </si>
  <si>
    <t>M6712986</t>
  </si>
  <si>
    <t>M6713845</t>
  </si>
  <si>
    <t>M6713498</t>
  </si>
  <si>
    <t>M6716160</t>
  </si>
  <si>
    <t>M6711402</t>
  </si>
  <si>
    <t>M6711616</t>
  </si>
  <si>
    <t>M6710512</t>
  </si>
  <si>
    <t>M6709721</t>
  </si>
  <si>
    <t>M6712054</t>
  </si>
  <si>
    <t>M6711632</t>
  </si>
  <si>
    <t>M6713856</t>
  </si>
  <si>
    <t>M6715851</t>
  </si>
  <si>
    <t>M6716674</t>
  </si>
  <si>
    <t>M6714171</t>
  </si>
  <si>
    <t>M6711089</t>
  </si>
  <si>
    <t>M6713199</t>
  </si>
  <si>
    <t>M6713062</t>
  </si>
  <si>
    <t>M6713957</t>
  </si>
  <si>
    <t>M6710982</t>
  </si>
  <si>
    <t>M6733054</t>
  </si>
  <si>
    <t>M6712564</t>
  </si>
  <si>
    <t>M6746476</t>
  </si>
  <si>
    <t>M6710139</t>
  </si>
  <si>
    <t>M6701294</t>
  </si>
  <si>
    <t>M6701550</t>
  </si>
  <si>
    <t>M6702193</t>
  </si>
  <si>
    <t>M6702807</t>
  </si>
  <si>
    <t>M6703338</t>
  </si>
  <si>
    <t>M6703541</t>
  </si>
  <si>
    <t>M6704035</t>
  </si>
  <si>
    <t>M6704486</t>
  </si>
  <si>
    <t>M6704987</t>
  </si>
  <si>
    <t>M6735301</t>
  </si>
  <si>
    <t>M6701551</t>
  </si>
  <si>
    <t>M6735378</t>
  </si>
  <si>
    <t>M6724890</t>
  </si>
  <si>
    <t>M6734703</t>
  </si>
  <si>
    <t>M6733551</t>
  </si>
  <si>
    <t>M6762567</t>
  </si>
  <si>
    <t>M6710543</t>
  </si>
  <si>
    <t>M6715371</t>
  </si>
  <si>
    <t>M6712941</t>
  </si>
  <si>
    <t>M6747338</t>
  </si>
  <si>
    <t>M6708643</t>
  </si>
  <si>
    <t>M6708706</t>
  </si>
  <si>
    <t>M6708729</t>
  </si>
  <si>
    <t>M6708665</t>
  </si>
  <si>
    <t>M6708746</t>
  </si>
  <si>
    <t>M6708644</t>
  </si>
  <si>
    <t>M6708707</t>
  </si>
  <si>
    <t>M6708731</t>
  </si>
  <si>
    <t>M6708666</t>
  </si>
  <si>
    <t>M6708645</t>
  </si>
  <si>
    <t>M6725767</t>
  </si>
  <si>
    <t>M6708733</t>
  </si>
  <si>
    <t>M6708708</t>
  </si>
  <si>
    <t>M6708667</t>
  </si>
  <si>
    <t>M6708646</t>
  </si>
  <si>
    <t>M6708668</t>
  </si>
  <si>
    <t>M6708709</t>
  </si>
  <si>
    <t>M6725769</t>
  </si>
  <si>
    <t>M6708735</t>
  </si>
  <si>
    <t>M6708636</t>
  </si>
  <si>
    <t>M6708710</t>
  </si>
  <si>
    <t>M6708669</t>
  </si>
  <si>
    <t>M6708737</t>
  </si>
  <si>
    <t>M6725772</t>
  </si>
  <si>
    <t>M6708637</t>
  </si>
  <si>
    <t>M6708670</t>
  </si>
  <si>
    <t>M6708711</t>
  </si>
  <si>
    <t>M6708738</t>
  </si>
  <si>
    <t>M6708638</t>
  </si>
  <si>
    <t>M6708712</t>
  </si>
  <si>
    <t>M6708671</t>
  </si>
  <si>
    <t>M6708740</t>
  </si>
  <si>
    <t>M6708747</t>
  </si>
  <si>
    <t>M6708640</t>
  </si>
  <si>
    <t>M6708742</t>
  </si>
  <si>
    <t>M6708713</t>
  </si>
  <si>
    <t>M6708672</t>
  </si>
  <si>
    <t>M6708642</t>
  </si>
  <si>
    <t>M6708743</t>
  </si>
  <si>
    <t>M6708714</t>
  </si>
  <si>
    <t>M6708673</t>
  </si>
  <si>
    <t>M6708444</t>
  </si>
  <si>
    <t>M6708723 &amp; M6708726</t>
  </si>
  <si>
    <t>M6749688</t>
  </si>
  <si>
    <t>M6708692</t>
  </si>
  <si>
    <t>M6707070</t>
  </si>
  <si>
    <t>M6708694</t>
  </si>
  <si>
    <t>M6708748</t>
  </si>
  <si>
    <t>M6708695</t>
  </si>
  <si>
    <t>M6708696</t>
  </si>
  <si>
    <t>M6725781</t>
  </si>
  <si>
    <t>M6708697</t>
  </si>
  <si>
    <t>M6725784</t>
  </si>
  <si>
    <t>M6708648</t>
  </si>
  <si>
    <t>M6708698</t>
  </si>
  <si>
    <t>M6725786</t>
  </si>
  <si>
    <t>M6708649</t>
  </si>
  <si>
    <t>M6708699</t>
  </si>
  <si>
    <t>M6708650</t>
  </si>
  <si>
    <t>M6708700</t>
  </si>
  <si>
    <t>M6725791</t>
  </si>
  <si>
    <t>M6708652</t>
  </si>
  <si>
    <t>M6708701</t>
  </si>
  <si>
    <t>M6708653</t>
  </si>
  <si>
    <t>M6708976</t>
  </si>
  <si>
    <t>M6762570</t>
  </si>
  <si>
    <t>M6708639</t>
  </si>
  <si>
    <t>M6708641</t>
  </si>
  <si>
    <t>M6733529</t>
  </si>
  <si>
    <t>M6708651</t>
  </si>
  <si>
    <t>M6727741</t>
  </si>
  <si>
    <t>M6727754</t>
  </si>
  <si>
    <t>M6708654</t>
  </si>
  <si>
    <t>M6708484</t>
  </si>
  <si>
    <t>M6701695</t>
  </si>
  <si>
    <t>M6702498</t>
  </si>
  <si>
    <t>M6703090</t>
  </si>
  <si>
    <t>M6703820</t>
  </si>
  <si>
    <t>M6704278</t>
  </si>
  <si>
    <t>M6706065</t>
  </si>
  <si>
    <t>M6705897</t>
  </si>
  <si>
    <t>M6705787</t>
  </si>
  <si>
    <t>M6705608</t>
  </si>
  <si>
    <t>M6705387</t>
  </si>
  <si>
    <t>M6705133</t>
  </si>
  <si>
    <t>M6704695</t>
  </si>
  <si>
    <t>M6703440</t>
  </si>
  <si>
    <t>M6702032</t>
  </si>
  <si>
    <t>M6712425</t>
  </si>
  <si>
    <t>M6716095</t>
  </si>
  <si>
    <t>M6716274</t>
  </si>
  <si>
    <t>M6711788</t>
  </si>
  <si>
    <t>M6711228</t>
  </si>
  <si>
    <t>M6720355</t>
  </si>
  <si>
    <t>M6711260</t>
  </si>
  <si>
    <t>M6712563</t>
  </si>
  <si>
    <t>M6710768</t>
  </si>
  <si>
    <r>
      <rPr>
        <b/>
        <sz val="12"/>
        <color rgb="FF231F20"/>
        <rFont val="Arial"/>
        <family val="2"/>
      </rPr>
      <t>Model 752</t>
    </r>
    <r>
      <rPr>
        <b/>
        <sz val="12"/>
        <rFont val="Arial"/>
        <family val="2"/>
      </rPr>
      <t>-N</t>
    </r>
  </si>
  <si>
    <t>M6709977</t>
  </si>
  <si>
    <t>M6711442</t>
  </si>
  <si>
    <t>M6744731</t>
  </si>
  <si>
    <t>782CS, 782CS-N &amp; 782CS-WE</t>
  </si>
  <si>
    <t>Model 1011. 1011G &amp; 1012</t>
  </si>
  <si>
    <t>1011, 1011G &amp; 1012</t>
  </si>
  <si>
    <t>M6708702</t>
  </si>
  <si>
    <t>Model 125F and 125F-N</t>
  </si>
  <si>
    <t>Model 155M and 155M-N</t>
  </si>
  <si>
    <t>Model 165 and 1650N</t>
  </si>
  <si>
    <t xml:space="preserve">Model 125-CS </t>
  </si>
  <si>
    <t>Model 185CS and 185CS-N</t>
  </si>
  <si>
    <t>Model 186CS</t>
  </si>
  <si>
    <t>Duplex Basket Strainers</t>
  </si>
  <si>
    <t>Model 791F and 791MF</t>
  </si>
  <si>
    <t>Model 792S-DH</t>
  </si>
  <si>
    <t>Model 792F-DH and 792MF-DH</t>
  </si>
  <si>
    <t>Model 692MF-DH</t>
  </si>
  <si>
    <t>Model 794S-DH</t>
  </si>
  <si>
    <t>Model 794F-DH and 794MF-DH</t>
  </si>
  <si>
    <t>Model 792S-HH</t>
  </si>
  <si>
    <t>Model 792F-HH and 792MF-HH</t>
  </si>
  <si>
    <t>Model 692MF-HH</t>
  </si>
  <si>
    <t>Model 794S-HH</t>
  </si>
  <si>
    <t>Model 794F-HH and 794MF-HH</t>
  </si>
  <si>
    <t>UL Fireline Strainers</t>
  </si>
  <si>
    <t>Iron Body Wye</t>
  </si>
  <si>
    <t>Iron Body Basket</t>
  </si>
  <si>
    <t>Suction Diffusers</t>
  </si>
  <si>
    <t xml:space="preserve">Iron Body </t>
  </si>
  <si>
    <t>Triple Duty Valves</t>
  </si>
  <si>
    <t>Model 758, 758G and 758-N</t>
  </si>
  <si>
    <t>Double Disc Check Valves</t>
  </si>
  <si>
    <t>Model 71, 71-N, and 71U</t>
  </si>
  <si>
    <t>Model 721 and 721-N</t>
  </si>
  <si>
    <t>Model 722, 722G and 722-N</t>
  </si>
  <si>
    <t>Model 74 and Model 74G</t>
  </si>
  <si>
    <t xml:space="preserve">Carbon Steel Body </t>
  </si>
  <si>
    <t xml:space="preserve">Model 74 </t>
  </si>
  <si>
    <t xml:space="preserve">Stainless Steel Body </t>
  </si>
  <si>
    <t>Silent Check Valves</t>
  </si>
  <si>
    <t>Model 91A, 92A, 91A-N, and 92A-N</t>
  </si>
  <si>
    <t>Model 101M</t>
  </si>
  <si>
    <t>Model 105M and 105M-N</t>
  </si>
  <si>
    <t>Model 103M</t>
  </si>
  <si>
    <t>Model 107M</t>
  </si>
  <si>
    <t>Model 109M</t>
  </si>
  <si>
    <t>CHEXTER Check Valves</t>
  </si>
  <si>
    <t>Butterfly Valves</t>
  </si>
  <si>
    <t>M6754623</t>
  </si>
  <si>
    <t>New List</t>
  </si>
  <si>
    <t>M6719560</t>
  </si>
  <si>
    <t>EDP</t>
  </si>
  <si>
    <t>Product Category</t>
  </si>
  <si>
    <t>M6752781</t>
  </si>
  <si>
    <t>Iron Wye Strainers</t>
  </si>
  <si>
    <t>Bronze Wye Strainers</t>
  </si>
  <si>
    <t>Carbon Steel Wye Strainers</t>
  </si>
  <si>
    <t>Stainless Steel Wye Strainer</t>
  </si>
  <si>
    <t>Iron Simplex Basket Strainers</t>
  </si>
  <si>
    <t xml:space="preserve">Carbon Steel Simplex Basket </t>
  </si>
  <si>
    <t>Stainless Steel Simplex Basket</t>
  </si>
  <si>
    <t>CHEXTER Check Valv</t>
  </si>
  <si>
    <t>Description</t>
  </si>
  <si>
    <t>1/4" 11M CI 250# W/20 MSH SS SCN</t>
  </si>
  <si>
    <t>STRAINER</t>
  </si>
  <si>
    <t>1/4" 11M-N CI 250# W/20MSH SS SCN</t>
  </si>
  <si>
    <t>1/4"303AP CI THRD 300#WOG CV W/BRZ TRIM&amp;EPDM</t>
  </si>
  <si>
    <t>SILENT CHECK</t>
  </si>
  <si>
    <t>1/4" 581CS 600# W/1/16"PF SS SCN</t>
  </si>
  <si>
    <t>1/4" 581SS 600# W/1/16"PF SS SCN</t>
  </si>
  <si>
    <t>1/4" 582SS 600# W/1/16"PF SS SCN</t>
  </si>
  <si>
    <t>1/4" 861CS 600# W/1/16"PF SS SCN</t>
  </si>
  <si>
    <t>1/4" 861SS 600# W/1/16"PF SS SCN</t>
  </si>
  <si>
    <t>3/8" 11M CI 250# W/20 MSH SS SCN</t>
  </si>
  <si>
    <t>3/8" 11M-N CI 250# W/20MSH SS SCN</t>
  </si>
  <si>
    <t>3/8" 251DI 300# W/1/16"PF SS SCN</t>
  </si>
  <si>
    <t>3/8" 303AP CI THRD 200#WOG CV W/BRZ TRIM &amp;EPDM</t>
  </si>
  <si>
    <t>3/8" 581CS 600# W/1/16"PF SS SCN</t>
  </si>
  <si>
    <t>3/8  581CS-N 600# W/1/16PF SS SCN</t>
  </si>
  <si>
    <t>3/8" 581SS 600# W/1/16"PF SS SCN</t>
  </si>
  <si>
    <t>3/8" 861CS 600# W/1/16"PF SS SCN</t>
  </si>
  <si>
    <t>3/8" 861SS 600# W/1/16"PF SS SCN</t>
  </si>
  <si>
    <t>1/2" 11M 250# W/20 MSHSS SCN</t>
  </si>
  <si>
    <t>1/2" 11M-N CI 250# W/20MSH SS SCN</t>
  </si>
  <si>
    <t>1/2" 125CI 125# W/1/16"PF SS BSK</t>
  </si>
  <si>
    <t>1/2" 125CS 200 PSI W/1/16" PF SS BSK</t>
  </si>
  <si>
    <t>1/2" 125SS 200 PSI W/1/16" PF SS BSK</t>
  </si>
  <si>
    <t>1/2" 251DI 300# W/1/16"PF SS SCN</t>
  </si>
  <si>
    <t>1/2" 303AP CI THRD 200#WOG CV W/BRZ TRIM&amp;EPDM</t>
  </si>
  <si>
    <t>1/2" 581CS 600# W/1/16"PF SS SCN</t>
  </si>
  <si>
    <t>1/2" 581SS 600# W/1/16"PF SS SCN</t>
  </si>
  <si>
    <t>1/2" 582CS 600# W/1/16"PF SS SCN</t>
  </si>
  <si>
    <t>1/2" 582SS 600# W/1/16"PF SS SCN</t>
  </si>
  <si>
    <t>1/2" 764CS 600# W/1/16"PF SS SCN</t>
  </si>
  <si>
    <t>1/2" 861CS 600# W/1/16"PF SS SCN</t>
  </si>
  <si>
    <t>1/2" 861SS 600# W/1/16"PF SS SCN</t>
  </si>
  <si>
    <t>1/2" 862CS 600# W/1/16"PF SS SCN</t>
  </si>
  <si>
    <t>1/2" 862SS 600# W/1/16"PF SS SCN</t>
  </si>
  <si>
    <t>1/2" 863MCS 1500# W/1/16" PF SS SCN</t>
  </si>
  <si>
    <t>1/2" 864MCS 1500# W/1/16" PF SS SCN</t>
  </si>
  <si>
    <t>3/4" 11M CI 250# W/20 MSH SS SCN</t>
  </si>
  <si>
    <t>3/4" 11M-N CI 250# W/20MSH SS SCN</t>
  </si>
  <si>
    <t>3/4" 125CI 125# W/1/16"PF SS BSK</t>
  </si>
  <si>
    <t>3/4" 125CS 200 PSI W/1/16" PF SS BSK</t>
  </si>
  <si>
    <t>3/4" 125 SS 200 PSI W/1/16" PF SS BSK</t>
  </si>
  <si>
    <t>3/4" 251DI 300# W/1/16"PF SS SCN</t>
  </si>
  <si>
    <t>3/4" 303AP CI THRD 200#WOG CV W/BRZ TRIM &amp; EPDM</t>
  </si>
  <si>
    <t>3/4" 581CS 600# W/1/16"PF SS SCN</t>
  </si>
  <si>
    <t>3/4" 581SS 600# W/1/16"PF SS SCN</t>
  </si>
  <si>
    <t>3/4" 582CS 600# W/1/16"PF SS SCN</t>
  </si>
  <si>
    <t>3/4" 582SS 600# W/1/16"PF SS SCN</t>
  </si>
  <si>
    <t>3/4" 752CI 250# W/1/16"SS SCN</t>
  </si>
  <si>
    <t>3/4" 764CS 600# W/1/16"PF SS SCN</t>
  </si>
  <si>
    <t>3/4" 791SAH 125# W/1/16"PF SS BSK</t>
  </si>
  <si>
    <t>3/4" 792SHH 150# W/1/16"PF SS BSK</t>
  </si>
  <si>
    <t>3/4" 861CS 600# W/1/16"PF SS SCN</t>
  </si>
  <si>
    <t>3/4" 861SS 600# W/1/16"PF SS SCN</t>
  </si>
  <si>
    <t>3/4" 862CS 600# W/1/16"PF SS SCN</t>
  </si>
  <si>
    <t>3/4" 862SS 600# W/1/16"PF SS SCN</t>
  </si>
  <si>
    <t>3/4" 863MCS 1500# W/1/16" PF SS SCN</t>
  </si>
  <si>
    <t>3/4" 864MCS 1500# W/1/16" PF SS SCN</t>
  </si>
  <si>
    <t>1" 101DT CS 150# FLGD SLNT WFR CV W/316SS TRIM</t>
  </si>
  <si>
    <t>1" 103HT SS 300#FLGD SLNT WFR CV W/316SS TRI</t>
  </si>
  <si>
    <t>1" 11M 250# W/20 MSH SSSCN</t>
  </si>
  <si>
    <t>1" 11M-N CI 250# W/20 MSH SS SCN</t>
  </si>
  <si>
    <t>1" 125CI 125# W/1/16" PFSS BSK</t>
  </si>
  <si>
    <t>1" 125CS 200 PSI W/1/16"PF SS BSK</t>
  </si>
  <si>
    <t>1" 125FCI 125# W/1/16"PF SS BSK</t>
  </si>
  <si>
    <t>1" 125FCS 150# W/1/16"PF SS BSK</t>
  </si>
  <si>
    <t>1" 125FSS 150# W/1/16"PF SS BSK</t>
  </si>
  <si>
    <t>1" 125SS 200 PSI W/1/16"PF SS BSK</t>
  </si>
  <si>
    <t>1" 251DI 300# W/1/16" PFSS SCN</t>
  </si>
  <si>
    <t>1" 303AP CI THRD 200# WOG CV W/BRZ TRIM &amp;EPDM</t>
  </si>
  <si>
    <t>1" 581CS 600# W/1/16" PFSS SCN</t>
  </si>
  <si>
    <t>1" 581SS 600# W/1/16" PFSS SCN</t>
  </si>
  <si>
    <t>1" 582CS 600# W/1/16" PFSS SCN</t>
  </si>
  <si>
    <t>1" 582SS 600# W/1/16" SSSCN</t>
  </si>
  <si>
    <t>1" 752CI 250# W/1/16" PFSS SCN</t>
  </si>
  <si>
    <t>1" 764CS 600# W/1/16" PFSS SCN</t>
  </si>
  <si>
    <t>1" 791FAH 125# W/1/16"PF SS BSK</t>
  </si>
  <si>
    <t>1" 791SAH 125# W/1/16"PF SS BSK</t>
  </si>
  <si>
    <t>1" 792FDH 150# W/1/16"PF SS BSK</t>
  </si>
  <si>
    <t>1" 792FHH 150# W/1/16"PF SS BSK</t>
  </si>
  <si>
    <t>1" 792SDH 150# W/1/16"PF SS BSK</t>
  </si>
  <si>
    <t>1" 792SHH 150# W/1/16"PF SS BSK</t>
  </si>
  <si>
    <t>1" 794FDH 300# W/1/16"PF SS BSK</t>
  </si>
  <si>
    <t>1" 794FHH 300# W/1/16"PF SS BSK</t>
  </si>
  <si>
    <t>1" 794SHH 300# W/1/16"PF SS BSK</t>
  </si>
  <si>
    <t>1" 861CS 600# W/1/16" PFSS SCN</t>
  </si>
  <si>
    <t>1" 861SS 600# W/1/16" PFSS SCN</t>
  </si>
  <si>
    <t>1" 862CS 600# W/1/16" PFSS SCN</t>
  </si>
  <si>
    <t>1" 862SS 600# W/1/16" PFSS SCN</t>
  </si>
  <si>
    <t>1" 863MCS 1500# W/1/16"PF SS SCN</t>
  </si>
  <si>
    <t>1" 864MCS 1500# W/1/16"PF SS SCN</t>
  </si>
  <si>
    <t>1-1/4" 103DT CS 300# FLGSLNT WFR CV W/316SS TRIM</t>
  </si>
  <si>
    <t>1-1/4" 11M CI 250# W/20MSH SS SCN</t>
  </si>
  <si>
    <t>1-1/4" 11M-N 250# W/20 MSH SS SCN</t>
  </si>
  <si>
    <t>1-1/4  125CI 125# W/1/16PF SS BSK</t>
  </si>
  <si>
    <t>1-1/4" 125FCI 125# W/1/16" PF SS BSK</t>
  </si>
  <si>
    <t>1-1/4" 125FCS 150# W/1/16" PF SS BSK</t>
  </si>
  <si>
    <t>1-1/4" 125SS 200 PSI W/1/16" PF SS BSK</t>
  </si>
  <si>
    <t>1-1/4" 251DI 300# W/1/16" PF SS SCN</t>
  </si>
  <si>
    <t>1-1/4"303APCI THRD 200#WOG CV W/BRZ TRIM &amp;EPDM</t>
  </si>
  <si>
    <t>1-1/4  581CS 600# W/1/16PF SS SCN</t>
  </si>
  <si>
    <t>1-1/4  581SS 600# W/1/16PF SS SCN</t>
  </si>
  <si>
    <t>1-1/4  582CS 600# W/1/16PF SS SCN</t>
  </si>
  <si>
    <t>1-1/4  582SS 600# W/1/16PF SS SCN</t>
  </si>
  <si>
    <t>1-1/4" 758 CI 125# W/1/16" PF SS SCN</t>
  </si>
  <si>
    <t>1-1/4" 764CS 600# W/1/16" PF SS SCN</t>
  </si>
  <si>
    <t>1-1/4" 791FAH CI 125# W/1/16" PF SS BSK</t>
  </si>
  <si>
    <t>1-1/4" 791SAH CI 125# W/1/16" PF SS BSK</t>
  </si>
  <si>
    <t>1-1/4" 792SDH 150# W/1/16" PF SS BSK</t>
  </si>
  <si>
    <t>1-1/4" 792SHH 150# W/1/16" PF SS BSK</t>
  </si>
  <si>
    <t>1-1/4" 861CS 600# W/1/16" PF SS SCN</t>
  </si>
  <si>
    <t>1-1/4" 861SS 600# W/1/16" PF SS SCN</t>
  </si>
  <si>
    <t>1-1/4" 862CS 600# W/1/16" PF SS SCN</t>
  </si>
  <si>
    <t>1-1/4" 863MCS 1500# W/1/16" PF SS SCN</t>
  </si>
  <si>
    <t>1-1/2" 101MAT CI 125# WFR CV W/316 TRIM</t>
  </si>
  <si>
    <t>1-1/2" 101MDT CS 150#FLGD SLT CV W/316SS TR</t>
  </si>
  <si>
    <t>1-1/2" 101MHT SS 150# FLGD WCKW/316SS TRIM</t>
  </si>
  <si>
    <t>1-1/2" 103MDT CS 300#FLGWFR CV W/316 TRIM</t>
  </si>
  <si>
    <t>1-1/2" 103MHT SS 300# FLG WFR CV W/316 TRIM</t>
  </si>
  <si>
    <t>1-1/2" 11M CI 250# W/20MSH SS SCN</t>
  </si>
  <si>
    <t>1-1/2" 11M-N CI 250# W/20 MSH SS SCN</t>
  </si>
  <si>
    <t>1-1/2  125CI 125# W/1/16PF SS BSK</t>
  </si>
  <si>
    <t>1-1/2" 125CS 200 PSI W/1/16" PF SS BSK</t>
  </si>
  <si>
    <t>1-1/2" 125FCI 125# W/1/16" PF SS BSK</t>
  </si>
  <si>
    <t>1-1/2" 125FCS 150# W/1/16" PF SS BSK</t>
  </si>
  <si>
    <t>1-1/2" 125FSS 150# W/1/16" PF SS BSK</t>
  </si>
  <si>
    <t>1-1/2" 125SS 200 PSI W/1/16" PF SS BSK</t>
  </si>
  <si>
    <t>1-1/2" 185CS 150# W/1/16" PF SS BSK</t>
  </si>
  <si>
    <t>1-1/2" 185SS 150# W/1/16" PF SS BSK</t>
  </si>
  <si>
    <t>1-1/2" 186CS 300# W/1/16" PF SS BSK</t>
  </si>
  <si>
    <t>1-1/2" 251DI 300# W/1/16" PF SS SCN</t>
  </si>
  <si>
    <t>1-1/2"303AP CI THRD 200#WOG CV W/BRZ TRIM&amp;EPDM</t>
  </si>
  <si>
    <t>1-1/2" 581CS 600# W/1/16PF SS SCN</t>
  </si>
  <si>
    <t>1-1/2" 582CS 600# W/1/16PF SS SCN</t>
  </si>
  <si>
    <t>1-1/2  582SS 600# W/1/16PF SS SCN</t>
  </si>
  <si>
    <t>1-1/2" 752CI 250# W/1/16" PF SS SCN</t>
  </si>
  <si>
    <t>1-1/2" 762SS 300# W/1/16" PF SS SCN</t>
  </si>
  <si>
    <t>1-1/2" 764CS 600# W/1/16" PF SS SCN</t>
  </si>
  <si>
    <t>1-1/2" 791FAH #125 W/1/16" PF SS BSK</t>
  </si>
  <si>
    <t>1-1/2" 791SAH 125# W/1/16" PF SS BSK</t>
  </si>
  <si>
    <t>1-1/2" 792FDH 150# W/1/16" PF SS BSK</t>
  </si>
  <si>
    <t>1-1/2" 792FHH 150# W/1/16" PF SS BSK</t>
  </si>
  <si>
    <t>1-1/2" 792SDH 150# W/1/16" PF SS BSK</t>
  </si>
  <si>
    <t>1-1/2" 792SHH 150# W/1/16" PF SS BSK</t>
  </si>
  <si>
    <t>1-1/2" 861CS 600# W/1/16" PF SS SCN</t>
  </si>
  <si>
    <t>1-1/2  861SS 600# W/1/16PF SS SCN</t>
  </si>
  <si>
    <t>1-1/2" 862CS 600# W/1/16" PF SS SCN</t>
  </si>
  <si>
    <t>1-1/2" 862SS 600# W/1/16" PF SS SCN</t>
  </si>
  <si>
    <t>1-1/2" 863MCS 1500# W/1/16" PF SS SCN</t>
  </si>
  <si>
    <t>1-1/2" 864MCS 1500# W/1/16" PF SS SCN</t>
  </si>
  <si>
    <t>1-1/2"91-AT CI CMPT WFRSLNT CV W/316SS TRIM</t>
  </si>
  <si>
    <t>3/4 &amp; 1" 791 LWR SFT 316SS</t>
  </si>
  <si>
    <t>OTHER COMPONENTS</t>
  </si>
  <si>
    <t>1-1/4",1-1/2" 303 DISC -A479 316SS MTL TO MTL</t>
  </si>
  <si>
    <t>3/4"  1" &amp; 1-1/2" 791UPR SFT - A351 316SS</t>
  </si>
  <si>
    <t>1-1/2" 791 LWR SFT - A351 316SS</t>
  </si>
  <si>
    <t>2" 101MAT CI 125# FLGDSLNT WFR CV W/316SS TRI</t>
  </si>
  <si>
    <t>2" 101MBP BRZ 150# FLGDSLNT WFR CV W/BRZ TRIM</t>
  </si>
  <si>
    <t>2" 101MDT CS 150# FLGDSLNT CV W/316SS TRIM</t>
  </si>
  <si>
    <t>2" 101MHT SS 150# FLGDSLNT WFR CV W/316SS</t>
  </si>
  <si>
    <t>2" 103MAT CI 250# FLGDSLNT WFR CV W/316SS TRIM</t>
  </si>
  <si>
    <t>2" 103MDT CS 300# FLGDSLNT WFR CV W/316SS TRIM</t>
  </si>
  <si>
    <t>2" 105MAT CI 125# FLGDSLNT GLB CV W/316SS TRIM</t>
  </si>
  <si>
    <t>2" 105MDT CS 150# FLGDSLN T GLB CV W/316SS TRI</t>
  </si>
  <si>
    <t>2" 105MHT SS 150# FLGDSLNT GLB CV W/316SS TRIM</t>
  </si>
  <si>
    <t>2" 109MDT CS 300# FLGDSLNT GLB CV W/316SS TRIM</t>
  </si>
  <si>
    <t>2" 11M 250# W/20 MSH SSSCN</t>
  </si>
  <si>
    <t>2" 11M-N CI 250# W/20 MSH SS SCN</t>
  </si>
  <si>
    <t>2" 125CI 125# W/1/16" PFSS BSK</t>
  </si>
  <si>
    <t>2" 125CS 200 PSI W/1/16"PF SS BSK</t>
  </si>
  <si>
    <t>2" 125FCI 125# W/1/16"PF SS BSK</t>
  </si>
  <si>
    <t>2" 125FCS 150# W/1/16"PF SS BSK</t>
  </si>
  <si>
    <t>2" 125FSS 150# W/1/16"PF SS BSK</t>
  </si>
  <si>
    <t>2" 125SS 200 PSI W/1/16"PF SS BSK</t>
  </si>
  <si>
    <t>2" 155M CI 125# W/1/16"PF SS BSK</t>
  </si>
  <si>
    <t>2" 155M-N 125# W/1/16"PF SS BSK</t>
  </si>
  <si>
    <t>2" 165CI 125# W/1/16" PFSS BSK</t>
  </si>
  <si>
    <t>2" 165CI-N 125# W/1/16"PF SS BSK</t>
  </si>
  <si>
    <t>2" 166DI 250# W/1/16" PFSS BSK</t>
  </si>
  <si>
    <t>2" 185CS 150# W/1/16" PFSS BSK</t>
  </si>
  <si>
    <t>2" 185SS 150# W/1/16" PFSS BSK</t>
  </si>
  <si>
    <t>2" 186CS 300# W/1/16" PFSS BSK</t>
  </si>
  <si>
    <t>2" 251 DI 300# W/1/16"PF SS SCN</t>
  </si>
  <si>
    <t>2" 303AP CI THRD 200#WOGCV W/BRZ TRIM &amp; EPDM</t>
  </si>
  <si>
    <t>2" 581CS 600# W/1/16" PFSS SCN</t>
  </si>
  <si>
    <t>2" 581SS 600# W/1/16" PFSS SCN</t>
  </si>
  <si>
    <t>2" 582CS 600# W/1/16" PFSS SCN</t>
  </si>
  <si>
    <t>2" 582SS 600# W/1/16" PFSS SCN</t>
  </si>
  <si>
    <t>2" 71AHH3H 125# CI/316/316/ BN 316 SC</t>
  </si>
  <si>
    <t>SURE CHECK</t>
  </si>
  <si>
    <t>2" 72DHH3H 150# CS/316/316/ BN 316 SC</t>
  </si>
  <si>
    <t>2" 72HHH3H 150# 316/316/316/ BN 316 SC</t>
  </si>
  <si>
    <t>2" 72IHH3H 150# DI/316/316/ BN 316 SC</t>
  </si>
  <si>
    <t>2" 721 CI 125# FLG  TRIPLE FCTN CTRL CV</t>
  </si>
  <si>
    <t>CONTROL CHECK</t>
  </si>
  <si>
    <t>2" 722 DI 300# FLG  TRIPLE FCTN CTRL CV</t>
  </si>
  <si>
    <t>2" 722G DI 300# GRV  ENDCTRL CV</t>
  </si>
  <si>
    <t>2" 74HHHHW 300# 316/316/316/METAL-METAL/ INC SC</t>
  </si>
  <si>
    <t>2" 74HHH3H 300# 316/316/316/ BN 316 SC</t>
  </si>
  <si>
    <t>2" 752CI 250# W/1/16" PFSS SCN</t>
  </si>
  <si>
    <t>2" 758 CI 125# W/1/16" PF SS SCN</t>
  </si>
  <si>
    <t>2" 758G DI 300# W/1/16"PF SS SCN</t>
  </si>
  <si>
    <t>2" 764CS 600# W/1/16" PFSS SCN</t>
  </si>
  <si>
    <t>2" 781CS 150# W/1/16"PF SS SCN</t>
  </si>
  <si>
    <t>2" 781CSWE 150# W/1/16"PF SS SCN</t>
  </si>
  <si>
    <t>2" 781SS 150# W/1/16" PFSS SCN</t>
  </si>
  <si>
    <t>2" 781SSWE 150# W/1/16"PF SS SCN</t>
  </si>
  <si>
    <t>2" 782CS 300# W/1/16" PFSS SCN</t>
  </si>
  <si>
    <t>2" 782CSWE 300# W/1/16"PF SS SCN</t>
  </si>
  <si>
    <t>2" 782SS 300# W/1/16" PFSS SCN</t>
  </si>
  <si>
    <t>2" 791SAH 125# W/1/16" PF SS BSK</t>
  </si>
  <si>
    <t>2" 792SDH 150# W/1/16"PF SS BSK</t>
  </si>
  <si>
    <t>2" 792SHH 150# W/1/16"PF SS BSK</t>
  </si>
  <si>
    <t>2" 861CS 600# W/1/16" PFSS SCN</t>
  </si>
  <si>
    <t>2" 861SS 600# W/1/16" PFSS SCN</t>
  </si>
  <si>
    <t>2" 862CS 600# W/1/16" PFSS SCN</t>
  </si>
  <si>
    <t>2" 862SS 600# W/1/16" PFSS SCN</t>
  </si>
  <si>
    <t>2" 863MCS 1500# W/1/16"PF SS SCN</t>
  </si>
  <si>
    <t>2" 864MCS 1500# W/1/16"PF SS SCN</t>
  </si>
  <si>
    <t>2" 91-AT CI COMPACT WFRSLNT CV W/316SS TRIM</t>
  </si>
  <si>
    <t>2" X 1-1/4" 1011 CI 125#W/1/4" PF SS SCN</t>
  </si>
  <si>
    <t>2" X 1-1/2" 1011 CI 125#W/5/32" PF; 20ML SS SCN</t>
  </si>
  <si>
    <t>2" X 2" 1011 CI 125# W/5/32" PF; 20ML SS SCN</t>
  </si>
  <si>
    <t>2" X 2" 1012 DI 300# W/5/32" PF; 20ML SS SCN</t>
  </si>
  <si>
    <t>2-1/2" 101MAT CI 125# WFR CV W/316 TRIM</t>
  </si>
  <si>
    <t>2-1/2" 101MBP BRZ 150#FLGD WFR CV W/BRZ TRIM</t>
  </si>
  <si>
    <t>2-1/2" 101MDT CS 150#FLG WFR CV W/316SS TRIM</t>
  </si>
  <si>
    <t>2-1/2" 101MHT SS 150#FLG WFR CV W/316SS TRIM</t>
  </si>
  <si>
    <t>2-1/2" 103MAT CI 250# WFR CV W/316SS TRIM</t>
  </si>
  <si>
    <t>2-1/2" 103MDT CS 300#FLGWFR CHK VAL W/316 TRIM</t>
  </si>
  <si>
    <t>2-1/2" 105MAT CI 125# GLB CV W/316 TRIM</t>
  </si>
  <si>
    <t>2-1/2" 105MDT CS 150#FLGGLB CHK VAL W/316 TRIM</t>
  </si>
  <si>
    <t>2-1/2" 105MHT SS 150# FLG GLB CHK VAL W/316 TRIM</t>
  </si>
  <si>
    <t>2-1/2"109MDT CS 300#FLGGLB CV W/316SS TRIM</t>
  </si>
  <si>
    <t>2-1/2" 109MHT SS 300# FLG GLB CHK VAL W/316 TRIM</t>
  </si>
  <si>
    <t>2-1/2" 11M 250# W/1/16"PF SS SCN</t>
  </si>
  <si>
    <t>2-1/2  125CI 125# W/1/16PF SS BSK</t>
  </si>
  <si>
    <t>2-1/2" 125FCI 125# W/1/16" PF SS BSK</t>
  </si>
  <si>
    <t>2-1/2" 125FCS 150# W/1/16" PF SS BSK</t>
  </si>
  <si>
    <t>2-1/2" 125FSS 150# W/1/16" PF SS BSK</t>
  </si>
  <si>
    <t>2-1/2" 155M CI 125# W/1/16" PF SS BSK</t>
  </si>
  <si>
    <t>2-1/2" 155M-N CI 125#W/1/16" PF SS BSK</t>
  </si>
  <si>
    <t>2-1/2  165CI 125# W/1/16PF SS BSK</t>
  </si>
  <si>
    <t>2-1/2" 165CI-N 125# W/1/16" PF SS BSK</t>
  </si>
  <si>
    <t>2-1/2" 185CS 150# W/1/16" PF SS BSK</t>
  </si>
  <si>
    <t>2-1/2" 185CS-N 150# W/1/16" PF SS BSK</t>
  </si>
  <si>
    <t>2-1/2" 185SS 150# W/1/16" PF SS BSK</t>
  </si>
  <si>
    <t>2-1/2" 251DI 300# W/1/16" PF SS SCN</t>
  </si>
  <si>
    <t>5/32" PF; 20 MSH LND SSSCN</t>
  </si>
  <si>
    <t>2-1/2" 71AHH3H 125# CI/316/316/ BN 316 SC</t>
  </si>
  <si>
    <t>2-1/2" 72DHH3H 150# CS/316/316/ BN 316 SC</t>
  </si>
  <si>
    <t>2-1/2" 72HHH3H 150# 316/316/316/ BN 316 SC</t>
  </si>
  <si>
    <t>2-1/2" 721 CI 125# FLGDTRIPLE FCTN CTRL CV</t>
  </si>
  <si>
    <t>2-1/2" 722G DI 300# GRVEND CTRL CV</t>
  </si>
  <si>
    <t>2-1/2  752CI 250# W/1/16PF SS SCN</t>
  </si>
  <si>
    <t>2-1/2" 758 125# W/1/16"PF SS SCN</t>
  </si>
  <si>
    <t>2-1/2" 758G DI 300# W/1/16" PF SS SCN</t>
  </si>
  <si>
    <t>2-1/2" 764CS 600# W/1/16" PF SS SCN</t>
  </si>
  <si>
    <t>2-1/2" 781CS 150# W/1/16PF SS SCN</t>
  </si>
  <si>
    <t>2-1/2" 781CSWE 150# W/1/16" PF SS SCN</t>
  </si>
  <si>
    <t>2-1/2" 781SS 150# W/1/16" PF SS SCN</t>
  </si>
  <si>
    <t>2-1/2" 781SSWE 150# W/1/16" PF SS SCN</t>
  </si>
  <si>
    <t>2-1/2  782CS 300# W/1/16PF SS SCN</t>
  </si>
  <si>
    <t>2-1/2" 782CSWE 300# W/1/16" PF SS SCN</t>
  </si>
  <si>
    <t>2-1/2" 782SS 300# W/1/16" PF SS SCN</t>
  </si>
  <si>
    <t>2-1/2" 791SAH 125# W/1/16" PF SS BSK</t>
  </si>
  <si>
    <t>2-1/2" 91-AT CI CMPT WFRSLNT CV W/316SS TRIM</t>
  </si>
  <si>
    <t>2-1/2" 911U 125# CI W/1/4" PF SS SCN UL APP</t>
  </si>
  <si>
    <t>2-1/2" X 2" 1011 CI 125#W/5/32" PF; 20ML SS SCN</t>
  </si>
  <si>
    <t>2-1/2" X 2" 1011G DI 150# W/5/32" PF; 20ML SS</t>
  </si>
  <si>
    <t>2-1/2" X 2-1/2" 1011 CI125# W/5/32" PF; 20ML SS</t>
  </si>
  <si>
    <t>2" 71,72,74 SFT/STEM316SS</t>
  </si>
  <si>
    <t>2" 791 LWR SFT 316SS - A351</t>
  </si>
  <si>
    <t>2-1/2" 71,72,74 SFT 316SS</t>
  </si>
  <si>
    <t>3" 101MAT CI 125# FLGDSLNT WFR CV W/316SS TRIM</t>
  </si>
  <si>
    <t>3" 101MBP BRZ 150# FLGDSLNT WFR CV W/BRZ TRIM</t>
  </si>
  <si>
    <t>3" 101MDT CS 150# FLGDSLNT WFR CV W/316SS TRIM</t>
  </si>
  <si>
    <t>3" 101MHT SS 150# FLGDSLN T WFR CV W/316SS TRI</t>
  </si>
  <si>
    <t>3" 103MAT CI 250# FLGDSLNT WFR CV W/316SS TRIM</t>
  </si>
  <si>
    <t>3" 103MDT CS 300# FLGDSLNT WFR CV W/316SS TRIM</t>
  </si>
  <si>
    <t>3" 103MHT SS 300# FLGDSLNT WFR CV W/316SS TRI</t>
  </si>
  <si>
    <t>3" 105MAT CI 125# FLGDSLNT GLB CV W/316SS TRIM</t>
  </si>
  <si>
    <t>3" 105MDT CS 150# FLGDSLNT GLB CV W/316SS TRIM</t>
  </si>
  <si>
    <t>3" 105MHT SS 150# FLGDSLNT GLB CV W/316SS TRI</t>
  </si>
  <si>
    <t>3" 107MAT CI 250#FLGD SLNT GLB CV W/316SS TRIM</t>
  </si>
  <si>
    <t>3" 109MDT CS 300# FLGDSLNT GLB CV W/316SS TRIM</t>
  </si>
  <si>
    <t>3" 11M CI 250# W/1/16" PF SS SCN</t>
  </si>
  <si>
    <t>3" 125CI 125# W/1/16" PFSS BSK</t>
  </si>
  <si>
    <t>3" 125CS 200 PSI W/1/16"PF SS BSK</t>
  </si>
  <si>
    <t>3" 125FCI 125# W/1/16"PF SS BSK</t>
  </si>
  <si>
    <t>3" 125FCS 150# W/1/16"PF SS BSK</t>
  </si>
  <si>
    <t>3" 125FSS 150# W/1/16"PF SS BSK</t>
  </si>
  <si>
    <t>3" 125SS 200 PSI W/1/16"PF SS BSK</t>
  </si>
  <si>
    <t>3" 155M CI 125# W/1/16"PF SS BSK</t>
  </si>
  <si>
    <t>3" 155M-N CI 125# W/1/16"  PF SS BSK</t>
  </si>
  <si>
    <t>3" 165CI 125# W/1/16" PFSS BSK</t>
  </si>
  <si>
    <t>3" 165-N CI 125# W/1/16"PF SS BSK</t>
  </si>
  <si>
    <t>3" 185CS 150# W/1/16" PFSS BSK</t>
  </si>
  <si>
    <t>3" 185CS-N 150# W/1/16"PF SS BSK</t>
  </si>
  <si>
    <t>3" 185SS 150# W/1/16" PFSS BSK</t>
  </si>
  <si>
    <t>3" 186CS 300# W/1/16"PF SS BSK</t>
  </si>
  <si>
    <t>3" 251DI 300# W/1/16" PFSS SCN</t>
  </si>
  <si>
    <t>3" 71AHH3H 125# CI/316/316/ BN 316 SC</t>
  </si>
  <si>
    <t>3" 71AHH3W 125# CI/316/316/ BN INC SC</t>
  </si>
  <si>
    <t>3" 72DHH3H 150# CS/316/316/ BN 316 SC</t>
  </si>
  <si>
    <t>3" 72HHH3H 150# 316/316/316/ BN 316 SC</t>
  </si>
  <si>
    <t>3" 72IHH3H 150# DI/316/316/ BN 316 SC</t>
  </si>
  <si>
    <t>3" 721 CI 125# FLG  TRIPLE FCTN CTRL CV</t>
  </si>
  <si>
    <t>3" 722 DI 300# FLG  TRIPLE FCTN CTRL CV</t>
  </si>
  <si>
    <t>3" 722G DI 300# GRV  ENDCTRL CV</t>
  </si>
  <si>
    <t>3" 74DHH3H 300# CS/316/316/ BN 316 SC</t>
  </si>
  <si>
    <t>3" 74GIHB3H 300# LOCXENDGRV DI/316/BRZ/BN/316</t>
  </si>
  <si>
    <t>3" 74HHH3H 300# 316/316/316/ BN 316 SC</t>
  </si>
  <si>
    <t>3" 752CI 250# W/1/16" PFSS SCN</t>
  </si>
  <si>
    <t>3" 758 125# W/1/16" PFSS SCN</t>
  </si>
  <si>
    <t>3" 758G DI 300# W/1/16"PF SS SCN</t>
  </si>
  <si>
    <t>3" 764CS 600# W/1/16" PFSS SCN</t>
  </si>
  <si>
    <t>3" 781CS 150# W/1/16" PFSS SCN</t>
  </si>
  <si>
    <t>3" 781CSWE 150# W/1/16"PF SS SCN</t>
  </si>
  <si>
    <t>3" 781SS 150# W/1/16"PF SS SCN</t>
  </si>
  <si>
    <t>3" 781SSWE 150# W/1/16"PF SS SCN</t>
  </si>
  <si>
    <t>3" 782CS 300# W/1/16" PFSS SCN</t>
  </si>
  <si>
    <t>3" 782CSWE 300# W/1/16"PF SS SCN</t>
  </si>
  <si>
    <t>3" 782SS 300# W/1/16" PFSS SCN</t>
  </si>
  <si>
    <t>3" 791SAH 125# W/1/16"PF SS BSK</t>
  </si>
  <si>
    <t>3" 91AT CI COMPACT WFRSLNT CV W/316SS TRIM</t>
  </si>
  <si>
    <t>3" 911U 125# CI W/1/4" PF SS SCN (UL APP)</t>
  </si>
  <si>
    <t>3" X 2" 1011 CI 125# W/5/32" PF; 20ML SS SCN</t>
  </si>
  <si>
    <t>3" X 2" 1011G DI 150# W/5/32" PF; 20ML SS SCN</t>
  </si>
  <si>
    <t>3" X 2" 1012 DI 300# W/5/32" PF; 20ML SS SCN</t>
  </si>
  <si>
    <t>3" X 2-1/2" 1011 CI 125#W/5/32" PF; 20ML SS</t>
  </si>
  <si>
    <t>3" X 3" 1011 CI 125# W/5/32" PF; 20ML SS SCN</t>
  </si>
  <si>
    <t>3" X 3" 1011G DI 150# W/5/32" PF; 20ML SS SCN</t>
  </si>
  <si>
    <t>3" 71,72,74 SFT/STEM 316SS</t>
  </si>
  <si>
    <t>2" &amp; 3" 791 UPR SFT - A351 316SS</t>
  </si>
  <si>
    <t>3" 791 LWR SFT 316SS - A351</t>
  </si>
  <si>
    <t>4" 101MAT CI 125# FLGDSLNT WFR CV W/316SS TRIM</t>
  </si>
  <si>
    <t>4" 101MBP BRZ 150# FLGDSLNT WFR CV W/BRZ TRIM</t>
  </si>
  <si>
    <t>4" 101MDT CS 150# FLGDSLNT WFR CV W/316SS TRIM</t>
  </si>
  <si>
    <t>4" 101MHT SS 150#FLGD SLNT WFR CV W/316SS TRIM</t>
  </si>
  <si>
    <t>4" 103MDT CS 300# FLGDSLNT WFR CV W/316SS TRIM</t>
  </si>
  <si>
    <t>4" 105MAT CI 125# FLGDSLNT GLB CV W/316SS TRIM</t>
  </si>
  <si>
    <t>4" 105MDT CS 150# FLGDSLNT GLB CV W/316SS TRIM</t>
  </si>
  <si>
    <t>4" 105MHT SS 150#FLGDSLN T GLB CV W/316SS TRI</t>
  </si>
  <si>
    <t>4" 107MAT CI 250# FLGDSLNT GLB CV W/316SS TRIM</t>
  </si>
  <si>
    <t>4" 109MDT CS 300# FLGDSLNT GLB CV W/316SS TRIM</t>
  </si>
  <si>
    <t>4" 11BC 250# W/1/16" PFSS SCN</t>
  </si>
  <si>
    <t>4" 125FCI 125# W/1/16"PF SS SCN</t>
  </si>
  <si>
    <t>4" 125FCS 150# W/1/16"PF SS BSK</t>
  </si>
  <si>
    <t>4" 125FSS 150# W/1/16" PF SS BSK</t>
  </si>
  <si>
    <t>4" 155M CI 125# W/1/16"PF SS BSK</t>
  </si>
  <si>
    <t>4" 155M-N CI 125# W/1/16" PF SS BSK</t>
  </si>
  <si>
    <t>4" 165CI 125# W/1/16" PFSS BSK</t>
  </si>
  <si>
    <t>4" 165-N CI 125# W/1/16"PF SS BSK</t>
  </si>
  <si>
    <t>4" 166DI 300# W/1/16" PFSS BSK</t>
  </si>
  <si>
    <t>4" 185CS 150# W/1/16" PFSS BSK</t>
  </si>
  <si>
    <t>4" 185CS-N 150# W/1/16"PF SS BSK</t>
  </si>
  <si>
    <t>4" 185SS 150# W/1/16" PFSS BSK</t>
  </si>
  <si>
    <t>4" 186CS 300# W/1/16" PFSS BSK</t>
  </si>
  <si>
    <t>4" 595CI 125# W/1/4" PFSS,UL APP</t>
  </si>
  <si>
    <t>4" 71AHH3H 125# CI/316/316/ BN 316 SC</t>
  </si>
  <si>
    <t>4" 71UAHB3H 125# CI/316/BRZ/ BN 316 UL APP SC</t>
  </si>
  <si>
    <t>4" 72DHH3H 150# CS/316/316/ BN 316 SC</t>
  </si>
  <si>
    <t>4" 72HHH3H 150# 316/316/316/ BN 316/ SC</t>
  </si>
  <si>
    <t>4" 72HHH3W 150# 316/316/316/ BN INC SC</t>
  </si>
  <si>
    <t>4" 72IHH3H 150# DI/316/316/ BN 316 SC</t>
  </si>
  <si>
    <t>4" 721 CI 125# FLG  TRIPLE FCTN CTRL CV</t>
  </si>
  <si>
    <t>4" 722 DI 300# FLG  TRIPLE FCTN CTRL CV</t>
  </si>
  <si>
    <t>4" 722G DI 300# GRV  ENDCTRL CV</t>
  </si>
  <si>
    <t>4" #74DHH3H 300# CS/316/316/ BN 316 SC</t>
  </si>
  <si>
    <t>4" 74GIHB3H 300# LOCXENDGRV DI/316/BRZ/BN/316</t>
  </si>
  <si>
    <t>4" 74HHHHW 300# 316/316/316/METAL-METAL/ INC SC</t>
  </si>
  <si>
    <t>4" 74HHH3H 300# 316/316/316/ BN 316 SC</t>
  </si>
  <si>
    <t>4" 752CI 250# W/1/16" PFSS SCN</t>
  </si>
  <si>
    <t>4" 758 CI 125# W/1/16"PF SS SCN</t>
  </si>
  <si>
    <t>4" 758G DI 300# W/1/16"PF SS SCN</t>
  </si>
  <si>
    <t>4" 764CS 600# W/1/16" PFSS SCN</t>
  </si>
  <si>
    <t>4" 781CS 150# W/1/16" PFSS SCN</t>
  </si>
  <si>
    <t>4" 781CSWE 150# W/1/16"PF SS SCN</t>
  </si>
  <si>
    <t>4" 781SS 150# W/1/16" PFSS SCN</t>
  </si>
  <si>
    <t>4" 781SSWE 150# W/1/16"PF SS SCN</t>
  </si>
  <si>
    <t>4" 782CS 300# W/1/16" PFSS SCN</t>
  </si>
  <si>
    <t>4" 782CSWE 300# W/1/16"PF SS SCN</t>
  </si>
  <si>
    <t>4" 782SS 300# W/1/16" PFSS SCN</t>
  </si>
  <si>
    <t>4" 91-AT CI COMPACT WFRSLNT CV W/316SS TRIM</t>
  </si>
  <si>
    <t>4" 911U CI 125# W/1/4" PF SS SCN (UL APP)</t>
  </si>
  <si>
    <t>4" X 3" 1011 CI 125# W/5/32" PF; 20ML SS SCN</t>
  </si>
  <si>
    <t>4" X 3"1011G DI 150# W/5/32" PF; 20ML SS SCN</t>
  </si>
  <si>
    <t>4" X 4" 1011 CI 125# W/5/32" PF; 20ML SS SCN</t>
  </si>
  <si>
    <t>4" X 4"1011G DI 150# W/5/32" PF; 20ML SS SCN</t>
  </si>
  <si>
    <t>4" X 4" 1012 DI 300# W/5/32" PF; 20ML SS SCN</t>
  </si>
  <si>
    <t>4" 71,72,74 SFT STEM 316SS</t>
  </si>
  <si>
    <t>4" 791 LWR SFT - A351 316SS</t>
  </si>
  <si>
    <t>5" 101MAT CI 125# FLGDSLNT WFR CV W/316SS TRIM</t>
  </si>
  <si>
    <t>5" 101MBP BRZ 150# FLGDSLNT WFR CV W/BRZ TRIM</t>
  </si>
  <si>
    <t>5" 101MHT SS 150#FLGD SLNT WFR CV W/316SS TRI</t>
  </si>
  <si>
    <t>5" 103MAT CI 250# FLGDSLNT WFR CV W/316SS TRIM</t>
  </si>
  <si>
    <t>5" 103MDT CS 300# FLGDSLNT WFR CV W/316SS TRIM</t>
  </si>
  <si>
    <t>5" 105MDT CS 150# FLGDSLNT GLB CV W/316SS TRIM</t>
  </si>
  <si>
    <t>5" 107MAT CI 250# FLGDSLNT GLB CV W/316SS TRIM</t>
  </si>
  <si>
    <t>5" 109MDT CS 300# FLGDSLNT GLB CV W/316SS TRIM</t>
  </si>
  <si>
    <t>5" 125FCI 125# W/1/8" PFSS BSK</t>
  </si>
  <si>
    <t>5" 155M CI 125# W/1/8" PF SS BSK</t>
  </si>
  <si>
    <t>5" 155M-N CI 125# W/1/8"PF SS BSK</t>
  </si>
  <si>
    <t>5" 165CI 125# W/1/8" PFSS BSK</t>
  </si>
  <si>
    <t>5" 165-N CI 125# W/1/8"PF SS BSK</t>
  </si>
  <si>
    <t>5" 185SS 150# W/1/8" PFSS BSK</t>
  </si>
  <si>
    <t>5" 71AHH3H 125# CI/316/316/ BN 316 SC</t>
  </si>
  <si>
    <t>5" 72DHH3H 150# CS/316/316/ BN 316 SC</t>
  </si>
  <si>
    <t>5" 72HHH3H 150# 316/316/316/ BN 316 SC</t>
  </si>
  <si>
    <t>5" 721 CI 125# FLG  TRIPLE FCTN CTRL CV</t>
  </si>
  <si>
    <t>5" 722 DI 300# FLG  TRIPLE FCTN CTRL CV</t>
  </si>
  <si>
    <t>5" 722G DI 300# GRV  ENDCTRL CV</t>
  </si>
  <si>
    <t>5" 752CI 250# W/1/8" PFSS SCN</t>
  </si>
  <si>
    <t>5" 758 CI 125# W/1/8" PFSS SCN</t>
  </si>
  <si>
    <t>5" 758G DI 300# W/1/8" PF SS SCN</t>
  </si>
  <si>
    <t>5" 781CS 150# W/1/8" PFSS SCN</t>
  </si>
  <si>
    <t>5" 781SS 150# W/1/8" PFSS SCN</t>
  </si>
  <si>
    <t>5" 782CS 300# W/1/8" PFSS SCN</t>
  </si>
  <si>
    <t>5" 91-AT CI COMPACT WFRSLNT CV W/316SS TRIM</t>
  </si>
  <si>
    <t>5" 911U 125# CI W/1/4" PF SS, UL APP</t>
  </si>
  <si>
    <t>5" X 4" 1011 CI 125# W/5/32" PF; 20ML SS SCN</t>
  </si>
  <si>
    <t>5" X 4" 1012 DI 300# W/5/32" PF; 20ML SS SCN</t>
  </si>
  <si>
    <t>5" X 5" 1011 CI 125# W/5/32" PF; 20ML SS SCN</t>
  </si>
  <si>
    <t>5" X 5" 1011G DI 150# W/5/32" PF; 20ML SS SCN</t>
  </si>
  <si>
    <t>5" 71,72,74 SFT STEM 316SS</t>
  </si>
  <si>
    <t>6" 101MAT CI 125# FLGDSLNT WFR CV W/316SS TRIM</t>
  </si>
  <si>
    <t>6" 101MBP BRZ 150# FLGDSLNT WFR CV W/BRZ TRIM</t>
  </si>
  <si>
    <t>6" 101MDT CS 150# FLGDSLNT WFR CV W/316SS TRIM</t>
  </si>
  <si>
    <t>6" 101MHT SS 150#FLGDSLN T WFR CV W/316SS TRI</t>
  </si>
  <si>
    <t>6" 103MAT CI 250# FLGDSLNT WFR CV W/316SS TRIM</t>
  </si>
  <si>
    <t>6" 103MDT CS 300# FLGDSLNT WFR CV W/316SS TRIM</t>
  </si>
  <si>
    <t>6" 103MHT SS 300#FLGDSLN T WFR CV W/316SS TRI</t>
  </si>
  <si>
    <t>6" 105MAT CI 125# FLGDSLNT GLB CV W/316SS TRIM</t>
  </si>
  <si>
    <t>6" 105MDT CS 150# FLGDSLNT GLB CV W/316SS TRIM</t>
  </si>
  <si>
    <t>6" 105MHT SS 150#FLGDSLN T GLB CV W/316SS TRI</t>
  </si>
  <si>
    <t>6" 107MAT CI 250# FLGDSLNT GLB CV W/316SS TRIM</t>
  </si>
  <si>
    <t>6" 109MDT CS 300# FLGDSL NT GLB CV W/316SS TRI</t>
  </si>
  <si>
    <t>6" 125FCI 125# W/1/8" PFSS BSK</t>
  </si>
  <si>
    <t>6" 125FCS 150# W/1/8" PFSS BSK</t>
  </si>
  <si>
    <t>6" 125FSS 150# W/1/8" PFSS BSK</t>
  </si>
  <si>
    <t>6" 155M 125# W/1/8" PFSS BSK</t>
  </si>
  <si>
    <t>6" 155M-N CI 125# W/1/8"PF SS BSK</t>
  </si>
  <si>
    <t>6" 165CI 125# W/1/8" PFSS BSK</t>
  </si>
  <si>
    <t>6" 165CI-N 125# W/1/8"PF SS BSK</t>
  </si>
  <si>
    <t>6" 185CS 150# W/1/8" PFSS BSK</t>
  </si>
  <si>
    <t>6" 185SS 150# W/1/8" PFSS BSK</t>
  </si>
  <si>
    <t>6" 186CS 300# W/1/8" PFSS BSK</t>
  </si>
  <si>
    <t>6" 595 125# CI W/1/4" PFSS BSK</t>
  </si>
  <si>
    <t>6" 71AHH3H 125# CI/316/316/ BN 316 SC</t>
  </si>
  <si>
    <t>6" 71UAHB3H 125# CI/316/BRZ/ BN 316/UL APP SC</t>
  </si>
  <si>
    <t>6" 72DHH3H 150# CS/316/316/ BN 316 SC</t>
  </si>
  <si>
    <t>6" 72HHH3H 150# 316/316/316/ BN 316 SC</t>
  </si>
  <si>
    <t>6" 72IHH3H 150# DI/316/316/ BN 316 SC</t>
  </si>
  <si>
    <t>6" 721 CI 125# FLG TRIPLE FCTN CTRL CV</t>
  </si>
  <si>
    <t>6" 722 DI 300# FLG TRIPLE FCTN CTRL CV</t>
  </si>
  <si>
    <t>6" 722G DI 300# GRVD ENDCTRL CV</t>
  </si>
  <si>
    <t>6" 74DHH3H 300# CS/316/316/ BN  316 SC</t>
  </si>
  <si>
    <t>6" 74GIHB3H 300# LOCXENDGRV DI/316/BRZ/BN/316</t>
  </si>
  <si>
    <t>6" 74HHH3H 300# 316/316/316/ BN 316 SC</t>
  </si>
  <si>
    <t>6" 752CI 250# W/1/8" PFSS SCN</t>
  </si>
  <si>
    <t>6" 758 CI 125# W/1/8" PFSS SCN</t>
  </si>
  <si>
    <t>6" 758G DI 300# W/1/8" PF SS SCN</t>
  </si>
  <si>
    <t>6" 764CS 600# W/1/8" PFSS SCN</t>
  </si>
  <si>
    <t>6" 781CS 150# W/1/8" PFSS SCN</t>
  </si>
  <si>
    <t>6" 781CSWE 150# W/1/8" PF SS SCN</t>
  </si>
  <si>
    <t>6" 781SS 150# W/1/8" PFSS SCN</t>
  </si>
  <si>
    <t>6" 782CS 300# W/1/8" PFSS SCN</t>
  </si>
  <si>
    <t>6" 782CSWE 300# W/1/8"PF SS SCN</t>
  </si>
  <si>
    <t>6" 782SS 300# W/1/8" PFSS SCN</t>
  </si>
  <si>
    <t>6" 91-AT CI COMPACT WFRSLNT CV W/316SS TRIM</t>
  </si>
  <si>
    <t>6" 911U 125# CI W/1/4" PF SS SCN (UL APP)</t>
  </si>
  <si>
    <t>6" X 4" 1011 CI 125# W/5/32" PF; 20ML SS SCN</t>
  </si>
  <si>
    <t>6" X 4" 1011G DI 150# W/5/32" PF; 20ML SS SCN</t>
  </si>
  <si>
    <t>6" X 4" 1012 DI 300# W/5/32" PF; 20ML SS SCN</t>
  </si>
  <si>
    <t>6" X 5" 1011 CI 125# W/5/32" PF; 20ML SS SCN</t>
  </si>
  <si>
    <t>6" X 5" 1011G DI 150# W/5/32" PF; 20ML SS SCN</t>
  </si>
  <si>
    <t>6" X 5" 1012 DI 300# W/5/32" PF; 20ML SS SCN</t>
  </si>
  <si>
    <t>6" X 6" 1011 CI 125# W/5/32" PF; 20ML SS SCN</t>
  </si>
  <si>
    <t>6" X 6" 1011G DI 150# W/5/32" PF; 20ML SS SCN</t>
  </si>
  <si>
    <t>6" X 6" 1012 DI 300# W/5/32" PF; 20ML SS SCN</t>
  </si>
  <si>
    <t>6" 71/72/74 SFT/STEM 316SS</t>
  </si>
  <si>
    <t>4" &amp; 6" 791 UPR SFT316SS - A276-316</t>
  </si>
  <si>
    <t>8" 101MAT CI 125# FLGDSLNT WFR CV W/316SS TRIM</t>
  </si>
  <si>
    <t>8" 101MDT CS 150# FLGDSLNT WFR CV W/316SS TRIM</t>
  </si>
  <si>
    <t>8" 101MHT SS 150#FLGDSLN T WFR CV W/316SS TRI</t>
  </si>
  <si>
    <t>8" 103MDT CS 300# FLGDSLNT WFR CV W/316SS TRIM</t>
  </si>
  <si>
    <t>8" 105MAT CI 125# FLGDSLNT GLB CV W/316SS TRIM</t>
  </si>
  <si>
    <t>8" 105MDT CS 150# FLGDSLNT GLB CV W/316SS TRIM</t>
  </si>
  <si>
    <t>8" 105MHT SS 150#FLGDSLN T GLB CV W/316SS TRI</t>
  </si>
  <si>
    <t>8" 107MAT CI 250# FLGDSLNT GLB CV W/316SS TRIM</t>
  </si>
  <si>
    <t>8" 109MDT CS 300# FLGDSLNT GLB CV W/316SS TRIM</t>
  </si>
  <si>
    <t>8" 125FCI 125# W/1/8" PFSS BSK</t>
  </si>
  <si>
    <t>8" 125FCS 150# W/1/8" PFSS BSK</t>
  </si>
  <si>
    <t>8" 125FSS 150# W/1/8" PFSS BSK</t>
  </si>
  <si>
    <t>8" 155M CI 125# W/1/8" PF SS BSK</t>
  </si>
  <si>
    <t>8" 155M-N CI 125# W/1/8"PF SS BSK</t>
  </si>
  <si>
    <t>8" 165CI 125# W/1/8" PFSS BSK</t>
  </si>
  <si>
    <t>8" 165CI-N 125# W/1/8" PF SS BSK</t>
  </si>
  <si>
    <t>8" 185CS 150# W/1/8" PFSS BSK</t>
  </si>
  <si>
    <t>8" 185SS 150# W/1/8" PFSS BSK</t>
  </si>
  <si>
    <t>8" 186CS 300# W/1/8" PFSS BSK</t>
  </si>
  <si>
    <t>8" 595 CI 125# W/1/4" PFSS BSK</t>
  </si>
  <si>
    <t>8" 71AHH3H 125# CI/316/316/ BN 316 SC</t>
  </si>
  <si>
    <t>8" 71UAHB3H 125# CI/316/BRZ/ BN 316 UL APP SC</t>
  </si>
  <si>
    <t>8" 72DHH3H 150# CS/316/316/ BN 316 SC</t>
  </si>
  <si>
    <t>8" 72HHH3H 150# 316/316/316/ BN 316 SC</t>
  </si>
  <si>
    <t>8" 72HHH3W 150# 316/316/316/ BN INC SC</t>
  </si>
  <si>
    <t>8" 72IHH3H 150# DI/316/316/ BN 316 SC</t>
  </si>
  <si>
    <t>8" 721 CI 125# FLG  TRIPLE FCTN CTRL CV</t>
  </si>
  <si>
    <t>8" 722 DI 300# FLG  TRIPLE FCTN CTRL CV</t>
  </si>
  <si>
    <t>8" 722G DI 300# GRV  ENDCTRL CV</t>
  </si>
  <si>
    <t>8" 74DHH3H 300# CS/316/316/ BN 316 SC</t>
  </si>
  <si>
    <t>8" 74GIHB3H 300# LOXENDGRV DI/316/BRZ/BN/316</t>
  </si>
  <si>
    <t>8" 74HHH3H 300# 316/316/316/ BN 316 SC</t>
  </si>
  <si>
    <t>8" 752CI 250# W/1/8" PFSS SCN</t>
  </si>
  <si>
    <t>8" 758 125# W/1/8" PF SSSCN</t>
  </si>
  <si>
    <t>8" 758G DI 300# W/1/8"PF SS SCN</t>
  </si>
  <si>
    <t>8" 764CS 600# W/1/8" PFSS SCN</t>
  </si>
  <si>
    <t>8" 781CS 150# W/1/8" PFSS SCN</t>
  </si>
  <si>
    <t>8" 781CSWE 150# W/1/8" PF SS SCN</t>
  </si>
  <si>
    <t>8" 781SS 150# W/1/8" PFSS SCN</t>
  </si>
  <si>
    <t>8" 782CS 300# W/1/8" PFSS SCN</t>
  </si>
  <si>
    <t>8" 911U 125# CI W/1/4"PF SS SCN (UL APP)</t>
  </si>
  <si>
    <t>8" 92-AT CI COMPACT WFRSLNT CV W/316SS TRIM</t>
  </si>
  <si>
    <t>8" X 6" 1011 CI 125# W/5/32" PF; 20ML SS SCN</t>
  </si>
  <si>
    <t>8" X 6" 1011G DI 150# W/5/32" PF; 20ML SS SCN</t>
  </si>
  <si>
    <t>8" X 6" 1012 DI 300# W/5/32" PF; 20ML SS SCN</t>
  </si>
  <si>
    <t>8" X 8" 1011 CI 125# W/1/8" PF; 20ML SS SCN</t>
  </si>
  <si>
    <t>8" X 8" 1012 DI 300# W/1/8" PF; 20ML SS SCN</t>
  </si>
  <si>
    <t>8" 71 72 SFT STEM 316SS</t>
  </si>
  <si>
    <t>8" 691M/692M FEM LWR SFT304SS 1-1/2"DIAX19-5/8"L</t>
  </si>
  <si>
    <t>8" 691 DISC SA536 65-45-12 DI</t>
  </si>
  <si>
    <t>8"691 MALE UPR SFT 304SS1-1/2" DIAX18-15/16" LG</t>
  </si>
  <si>
    <t>10" 101MAT CI 125#FLGDSLNT WFR CV W/316SS TRIM</t>
  </si>
  <si>
    <t>10" 101MBP BRZ 150# FLGDSLNT WFR CV W/BRZ TRIM</t>
  </si>
  <si>
    <t>10" 101MDT CS 150#FLGDSLNT WFR CV W/316SS TRIM</t>
  </si>
  <si>
    <t>10" 101MHT SS 150# FLGDSLNT WFR CHK VLV W/316SS</t>
  </si>
  <si>
    <t>10" 103MDT CS 300# FLGDSLNT WFR CHK VLV W/316SS</t>
  </si>
  <si>
    <t>10" 105MAT CI 125# FLGDSLNT GLB CHK VLV W/316SS</t>
  </si>
  <si>
    <t>10" 105MDT CS 150# FLGDSLNT GLB CV W/316S TRIM</t>
  </si>
  <si>
    <t>10" 105MHT SS 150#FLGDSL NT GLB CV W/316SS TRI</t>
  </si>
  <si>
    <t>10" 107MAT CI 250# FLGDSLNT GLB CV W/316SS TRIM</t>
  </si>
  <si>
    <t>10" 109MDT CS 300# FLGDSLNT GLB CV W/316SS TRIM</t>
  </si>
  <si>
    <t>10" 125FCI 125# W/1/8"PF SS BSK</t>
  </si>
  <si>
    <t>10" 125FCS 150# W/1/8" PF SS BSK</t>
  </si>
  <si>
    <t>10" 155M 125# W/1/8" PFSS BSK</t>
  </si>
  <si>
    <t>10" 155M-N 125# W/1/8"PF SS BSK</t>
  </si>
  <si>
    <t>10" 165CI 125# W/1/8" PFSS BSK</t>
  </si>
  <si>
    <t>10" 165-N CI 125# W/1/8"PF SS BSK</t>
  </si>
  <si>
    <t>10" 185CS 150# W/1/8" PFSS BSK</t>
  </si>
  <si>
    <t>10" 186CS 300# W/1/8" PFSS BSK</t>
  </si>
  <si>
    <t>10" 595 125# CI W/1/4" PF SS BSK</t>
  </si>
  <si>
    <t>10" 71AHH3H 125# CI/316/316/ BN 316 SC</t>
  </si>
  <si>
    <t>10" 71UAHB3H 125# CI/316/BRZ/ BN 316/UL APP SC</t>
  </si>
  <si>
    <t>10" 72DHH3H 150# CS/316/316/ BN 316 SC</t>
  </si>
  <si>
    <t>10" 72HHH3H 150# 316/316/316/ BN 316 SC</t>
  </si>
  <si>
    <t>10" 72HHH3W 150# 316/316/316/ BN INC SC</t>
  </si>
  <si>
    <t>10" 72IHH3H 150# DI/316/316/ BN 316 SC</t>
  </si>
  <si>
    <t>10" 721 CI 125# FLG  TRIPLE FCTN CTRL CV</t>
  </si>
  <si>
    <t>10" 722 DI 300# FLG  TRIPLE FCTN CK VL W/BR TRIM</t>
  </si>
  <si>
    <t>10" 722G DI 300# GRV  END CTRL CV</t>
  </si>
  <si>
    <t>10" 74GIHB3H 300# LOXENDGRV DI/316/BRZ/BN/316</t>
  </si>
  <si>
    <t>10" 752CI 250# W/1/8" PFSS SCN</t>
  </si>
  <si>
    <t>10" 758 125# W/1/8" PF SS SCN</t>
  </si>
  <si>
    <t>10" 758G DI 300# W/1/8"PF SS SCN</t>
  </si>
  <si>
    <t>10" 781CS 150# W/1/8" PFSS SCN</t>
  </si>
  <si>
    <t>10" 781CSWE 150# W/1/8"PF SS SCN</t>
  </si>
  <si>
    <t>10" 781SS 150# W/1/8" PFSS SCN</t>
  </si>
  <si>
    <t>10" 782CS 300# W/1/8" PFSS SCN</t>
  </si>
  <si>
    <t>10" 911U 125# CI W/1/4"PF SS SCN (UL APP)</t>
  </si>
  <si>
    <t>10" X 10" 1011 CI 125# W/1/8" PF; 20ML SS SCN</t>
  </si>
  <si>
    <t>10" X 10" 1012 DI 300#W/1/8" PF; 20ML SS SCN</t>
  </si>
  <si>
    <t>10" X 8" 1011 CI 125# W/1/8" PF; 20ML SS SCN</t>
  </si>
  <si>
    <t>10" X 8" 1012 DI 300# W/1/8" PF; 20ML  SS SCN</t>
  </si>
  <si>
    <t>10" 71/72/74 DISC 316SSIAW DWG D-10136-2</t>
  </si>
  <si>
    <t>10" 71/72/74/76/77/78 SPRNG  A-313 316SS</t>
  </si>
  <si>
    <t>10" 71,72 SFT STEM 316SS</t>
  </si>
  <si>
    <t>10" 71/72/74/76/77/78 SPRNG  INC 600</t>
  </si>
  <si>
    <t>10" 691M FEM LWR SFT 304SS 1-1/2"DIAX22-3/16"LG</t>
  </si>
  <si>
    <t>10" 691 DISC SA536 65-45-12 DI</t>
  </si>
  <si>
    <t>19-1/4" X 20-7/8" X 1/16" #4401 GSKT  (18" 758)</t>
  </si>
  <si>
    <t>12" 105MAT CI 125# FLGDSLNT GLB CV W/316SS TRIM</t>
  </si>
  <si>
    <t>12" 105MDT CS 150# FLGDSLNT GLB CVW/316SS TRIM</t>
  </si>
  <si>
    <t>12" 105MHT 150# FLG SLNTGLB CV W/316SS TRIM</t>
  </si>
  <si>
    <t>12" 107MAT CI 250# FLGDSLNT GLB CV W/316SS TRIM</t>
  </si>
  <si>
    <t>12" 109MDT CS 300# FLGDSLNT GLB CV W/316SS TRIM</t>
  </si>
  <si>
    <t>12" 155M CI 125# W/1/8"PF SS BSK</t>
  </si>
  <si>
    <t>12" 155M-N CI 125# W/1/8" PF SS BSK</t>
  </si>
  <si>
    <t>12" 165 125# W/1/8" PFSS BSK</t>
  </si>
  <si>
    <t>12" 165-N CI 125# W/1/8"PF SS BSK</t>
  </si>
  <si>
    <t>12" 185CS 150# W/1/8" PFSS BSK</t>
  </si>
  <si>
    <t>12" 186CS 300# W/1/8" PFSS BSK</t>
  </si>
  <si>
    <t>12" 595 125# CI W/1/4"PF SS BSK (UL APP)</t>
  </si>
  <si>
    <t>12" 71AHH3H 125# CI/316/316/ BN 316 SC</t>
  </si>
  <si>
    <t>12" 71UAHB3H 125# CI/316/BRZ/ BN 316/UL APP SC</t>
  </si>
  <si>
    <t>12" 72DHH3H 150# CS/316/316/ BN 316 SC</t>
  </si>
  <si>
    <t>12" 72HHH3H 150# 316/316/316/ BN 316 SC</t>
  </si>
  <si>
    <t>12" 72IHH3H 150# DI/316/316/ BN 316 SC</t>
  </si>
  <si>
    <t>12" 721 CI 125# FLG  TRIPLE FCTN CTRL CV</t>
  </si>
  <si>
    <t>12" 722 DI 300# FLG  TRIPLE FCTN CTRL CV</t>
  </si>
  <si>
    <t>12" 74DHH3H 300# CS/316/316/ BN 316 SC</t>
  </si>
  <si>
    <t>12" 74GIHB3H 300# LOXENDGRV DI/316/BRZ/BN/316</t>
  </si>
  <si>
    <t>12" 752CI 250# W/1/8" PFSS SCN</t>
  </si>
  <si>
    <t>12" 758 CI 125# W/1/8" PF SS SCN</t>
  </si>
  <si>
    <t>12" 758G DI 300# W/1/8"PF SS SCN</t>
  </si>
  <si>
    <t>12" 781CS 150# W/1/8" PFSS SCN</t>
  </si>
  <si>
    <t>12" 781SS 150# W/1/8" PFSS SCN</t>
  </si>
  <si>
    <t>12" 782CS 300# W/1/8" PFSS SCN</t>
  </si>
  <si>
    <t>12" 782CSWE 300# W/1/8"PF SS SCN</t>
  </si>
  <si>
    <t>12" 911U 125# W/1/4" PFSS SCN (UL APP)</t>
  </si>
  <si>
    <t>12" X 10" 1011 CI 125# W/1/8" PF; 20ML SS SCN</t>
  </si>
  <si>
    <t>12" X 12" 1011 CI 125# W1/8" PF; 20ML SS SCN</t>
  </si>
  <si>
    <t>12" X 8" 1011 CI 125# W/1/8" PF; 20ML SS SCN</t>
  </si>
  <si>
    <t>12" BFV GO &amp; 10" 691M/692M (1.49/1.253 BORE) DI</t>
  </si>
  <si>
    <t>12" 71/72/74/76/77/78 SPRNG  316SS</t>
  </si>
  <si>
    <t>12" 71,72,74 SFT STEM 316SS</t>
  </si>
  <si>
    <t>12" 71/72/74/76/77/78 SPRNG  INC 600</t>
  </si>
  <si>
    <t>12" 691M/692M MALE UPR SFT,304SS (SIN)</t>
  </si>
  <si>
    <t>12" 691 FEM LWR SFT 304SS,1-1/2"DIA X 26-9/16"LG</t>
  </si>
  <si>
    <t>12" 691 DISC SA536 65-45-12 DI</t>
  </si>
  <si>
    <t>14" 105MAT CI 125# FLGDSLNT GLB CV W/316SS TRIM</t>
  </si>
  <si>
    <t>14" 105MDT CS 150# FLGSLNT GLB CV W/316SS TRIM</t>
  </si>
  <si>
    <t>14"107MAT CI 250# FLGD SLNT GLB CV W/316SS TRIM</t>
  </si>
  <si>
    <t>14" 155M 125# W/1/8" PFSS BSK</t>
  </si>
  <si>
    <t>14" 165 CI 125# W/1/8"PF SS BSK</t>
  </si>
  <si>
    <t>14" 71AHH3H 125# CI/316/316/ BN 316 SC</t>
  </si>
  <si>
    <t>14" 72DHH3H 150# CS/316/316/ BN 316 SC</t>
  </si>
  <si>
    <t>14" 72HHH3H 150# 316/316/316/BN/316 SC</t>
  </si>
  <si>
    <t>14" 72IHH3H 150# DI/316/316/ BN 316 SC</t>
  </si>
  <si>
    <t>14" 721 CI 125# FLG  TRIPLE FCTN CTRL CV</t>
  </si>
  <si>
    <t>14" 752CI 250# W/1/8" PFSS SCN</t>
  </si>
  <si>
    <t>14" 758 CI 125# W/1/8" PF SS SCN</t>
  </si>
  <si>
    <t>14" 781CS 150# W/1/8" PFSS SCN</t>
  </si>
  <si>
    <t>14" 782CS 300# W/1/8" PFSS SCN</t>
  </si>
  <si>
    <t>14" X 10" 1011 CI 125# W/1/8" PF; 20ML SS SCN</t>
  </si>
  <si>
    <t>14" X 12" 1011 CI 125# W/1/8" PF; 20ML SS SCN</t>
  </si>
  <si>
    <t>14" X 14" 1011 CI 125# W/1/8" PF; 20ML SS SCN</t>
  </si>
  <si>
    <t>14" 71/72/74 DISC 316 SS- A351-CF8M</t>
  </si>
  <si>
    <t>14" 71,72 SFT STEM 316SS</t>
  </si>
  <si>
    <t>14" 691 DISC SA536 65-45-12 DI</t>
  </si>
  <si>
    <t>16" 105MAT CI 125# FLGDSLNT GLB CV W/316SS TRIM</t>
  </si>
  <si>
    <t>16" 105MDT CS 150# FLGDSLNT GLB CV W/316SS TRIM</t>
  </si>
  <si>
    <t>16" 107MAT CI 250# FLGDSLNT GLB CV W/316SS TRIM</t>
  </si>
  <si>
    <t>16" 71AHH3H 125# CI/316/316/ BN 316 SC</t>
  </si>
  <si>
    <t>16" 72HHH3H 150# 316/316/316/ BN 316 SC</t>
  </si>
  <si>
    <t>16" 74DHH3H 300# CS/316/316/ BN 316 SC</t>
  </si>
  <si>
    <t>16" 752CI 250# W/1/8" PFSS SCN</t>
  </si>
  <si>
    <t>16" 758 CI 125# W/1/8"PF SS SCN</t>
  </si>
  <si>
    <t>16" 781CS 150# W/1/8" PFSS SCN</t>
  </si>
  <si>
    <t>16" 782CS 300# W/1/8" PFSS SCN</t>
  </si>
  <si>
    <t>16" X 12" 1011 CI 125# W/1/8" PF; 20ML SS SCN</t>
  </si>
  <si>
    <t>16" X 14" 1011 CI 125# W/1/8" PF; 20ML SS SCN</t>
  </si>
  <si>
    <t>16" X 16" 1011 CI 125# W/1/8" PF; 20ML SS SCN</t>
  </si>
  <si>
    <t>16" 71/72/74 DISC 316SSIAW DWG D-10139-2</t>
  </si>
  <si>
    <t>14" &amp; 16" 71/72/74/76/77/78 SP RNG , 316SS</t>
  </si>
  <si>
    <t>16" 71,72,74 SFT/STEM 316SS</t>
  </si>
  <si>
    <t>16" 691 DISC SA536 65-45-12 DI</t>
  </si>
  <si>
    <t>18" 105MDT CS 150# FLGDSLNT GLB CV W/316SS TRIM</t>
  </si>
  <si>
    <t>18" 71AHH3H 125# CI/316/316/ BN 316 SC</t>
  </si>
  <si>
    <t>18" 72DHH3H 150# CS/316/316/ BN 316 SC</t>
  </si>
  <si>
    <t>18" 758 125# W/1/8" PFSS SCN</t>
  </si>
  <si>
    <t>18" 782CS 300# W/1/8" PFSS SCN</t>
  </si>
  <si>
    <t>18" 71/72/74 DISC 316 SS- A351-CF8M</t>
  </si>
  <si>
    <t>18" 71/72/74 SP RNG  316SS</t>
  </si>
  <si>
    <t>18" 71,72 SFT STEM 316SS</t>
  </si>
  <si>
    <t>1-KE 180 DEG GO DWG (4"791/792)</t>
  </si>
  <si>
    <t>20" 71AHH3H 125# CI/316/316/ BN 316 SC</t>
  </si>
  <si>
    <t>20" 758 CI 125# W/1/8"PF SS SCN</t>
  </si>
  <si>
    <t>20" 71/72/74 DISC - A351CF8M 316SS</t>
  </si>
  <si>
    <t>20" 71/72/74 SP RNG  316SS</t>
  </si>
  <si>
    <t>20" 71,72,74 SFT STEM 316SS</t>
  </si>
  <si>
    <t>21" X 23" X 1/16" NON-ASB #4401 GSKT (18" 751)</t>
  </si>
  <si>
    <t>15-1/4" X 17-3/8" X 1/16" C-4401 CMPRSD (SIN)</t>
  </si>
  <si>
    <t>25" X 26-15/16" X 1/16"C-4401 NON-ASB (SIN)</t>
  </si>
  <si>
    <t>11-5/8" X 12-13/16" X 1/16" C-4401 NON-ASB (SIN)</t>
  </si>
  <si>
    <t>4-1/2" X 5-1/2" X 1/16"BN 90 DURO GSKT</t>
  </si>
  <si>
    <t>24" 71AHH3H 125# CI/316/316/ BN 316 SC</t>
  </si>
  <si>
    <t>24" 752CI 250# W/1/8"PFSS SCN</t>
  </si>
  <si>
    <t>24" 71/72/74 DISC - A351CF8M 316SS</t>
  </si>
  <si>
    <t>24" 71/72/74/76/77/78 SPRNG  316SS</t>
  </si>
  <si>
    <t>24" 71,72,74 SFT STEM 316SS</t>
  </si>
  <si>
    <t>5-KE 180 DEG TRVL GO FOR4" NO. 794 &amp; (SIN)</t>
  </si>
  <si>
    <t>4-1/2" X 5-1/4" X 1/16"316SS TNG D GPHT GSKT</t>
  </si>
  <si>
    <t>30" 71AHH3H 125# CI/316/316/ BN 316 SC</t>
  </si>
  <si>
    <t>30" 71/72/74 DISC - A351CF8M 316SS</t>
  </si>
  <si>
    <t>30" 71/72/74/76/77/78SPG - A351 CF8M 316SS</t>
  </si>
  <si>
    <t>VTN ORG KIT FOR 2" 791 BPLX STR (2) #2-239 (SIN)</t>
  </si>
  <si>
    <t>EPM ORG KIT FOR 3/4" &amp; 1" 791 BPLX STR (4) (SIN)</t>
  </si>
  <si>
    <t>ORG KIT EPM (1-1/4" - 1-1/2" 790)</t>
  </si>
  <si>
    <t>EPM ORG KIT FOR 2" 790 BPLX STR (2) #2-239 (SIN)</t>
  </si>
  <si>
    <t>ORG KIT EPM (2-1/2" - 3"790)</t>
  </si>
  <si>
    <t>1" 103MDT CS 300# FLGD SLNT WFR CV W/316SS TRIM</t>
  </si>
  <si>
    <t>14" 691 MALE UPR SFT 304SS</t>
  </si>
  <si>
    <t>14" 691 FEM LWR SFT 304SS 1-1/2" DIA X 27-3/16"</t>
  </si>
  <si>
    <t>2" 758-N CI 125# W/1/16"PF SS SCN</t>
  </si>
  <si>
    <t>2-1/2" 758-N CI 125# W/1/16" PF SS SCN</t>
  </si>
  <si>
    <t>3" 758-N CI 125# W/1/16"PF SS SCN</t>
  </si>
  <si>
    <t>4" 758-N CI 125# W/1/16"PF SS SCN</t>
  </si>
  <si>
    <t>5" 758-N CI 125# W/1/8"PF SS SCN</t>
  </si>
  <si>
    <t>6" 758-N CI 125# W/1/8"PF SS SCN</t>
  </si>
  <si>
    <t>8" 758-N CI 125# W/1/8"PF SS SCN</t>
  </si>
  <si>
    <t>10" 758-N CI 125# W/1/8"PF SS SCN</t>
  </si>
  <si>
    <t>12  758-N CI 125# W/1/8PF SS SCN</t>
  </si>
  <si>
    <t>1/2"-13 X 1-1/4" SKT HDCAP SCW , STL</t>
  </si>
  <si>
    <t>1-5/16" X 1-11/16" X 1/16" 316SS TNGD GPHL (SIN)</t>
  </si>
  <si>
    <t>2-7/16" X 2-31/32" X 1/16" 316SS TNGD GPHL (SIN)</t>
  </si>
  <si>
    <t>13" X 14-1/4" X 1/16" 316SS TNGD GPHT GSKT (SIN)</t>
  </si>
  <si>
    <t>13-1/2" X 15-3/8" X 1/16316SS TNGD GPHL (SIN)</t>
  </si>
  <si>
    <t>15-5/8" X 18-1/4" X 1/16" 316SS TNGD GPHL (SIN)</t>
  </si>
  <si>
    <t>19-1/4" X 20-7/8" X 1/16" 316SS TNGD GPHL (SIN)</t>
  </si>
  <si>
    <t>22-1/4" X 23-7/8" X 1/16" 316SS TNGD GPHL (SIN)</t>
  </si>
  <si>
    <t>18" 721 CI 125# FLG  TRIPLE FCTN CTRL CV</t>
  </si>
  <si>
    <t>3" 11M-N CI 250# W/1/16"PF SS SCN</t>
  </si>
  <si>
    <t>2-1/2  11M-N 250# W/1/16PF SS SCN</t>
  </si>
  <si>
    <t>#2-256 ORG  BN N</t>
  </si>
  <si>
    <t>3/4" 758 125# W/1/16"PF SS SCN</t>
  </si>
  <si>
    <t>1" 758 CI 125# W/1/16" PF SS SCN</t>
  </si>
  <si>
    <t>1-1/2" 781CS 150# W/1/16PF SS SCN</t>
  </si>
  <si>
    <t>1/2" 781CS 150# W/1/16"PF SS SCN</t>
  </si>
  <si>
    <t>3/4" 781CS 150# W/1/16"PF SS SCN</t>
  </si>
  <si>
    <t>1" 781CS 150# W/1/16" PFSS SCN</t>
  </si>
  <si>
    <t>1-1/4" 781CS 150# W/1/16"  PF SS SCN</t>
  </si>
  <si>
    <t>1/2" 781SS 150#  W/1/16"PF SS SCN</t>
  </si>
  <si>
    <t>3/4" 781SS 150# W/1/16"PF SS SCN</t>
  </si>
  <si>
    <t>1" 781SS 150# W/1/16" PFSS SCN</t>
  </si>
  <si>
    <t>1-1/4" 781SS 150# W/1/16" PF SS SCN</t>
  </si>
  <si>
    <t>1-1/2" 781SS 150# W/1/16" PF SS SCN</t>
  </si>
  <si>
    <t>1" 781CSWE 150# W/1/16"PF SS SCN</t>
  </si>
  <si>
    <t>1" 781SSWE 150# W/1/16"PF SS SCN</t>
  </si>
  <si>
    <t>1-1/2" 781SSWE 150# W/1/16" PF SS SCN</t>
  </si>
  <si>
    <t>3/4" 782CS 300# W/1/16"PF SS SCN</t>
  </si>
  <si>
    <t>1" 782CS 300# W/1/16" PFSS SCN</t>
  </si>
  <si>
    <t>1-1/4" 782CS 300# W/1/16" PF SS SCN</t>
  </si>
  <si>
    <t>1-1/2" 782CS 300# W/1/16" PF SS SCN</t>
  </si>
  <si>
    <t>1/2" 782SS 300# W/1/16"PF SS SCN</t>
  </si>
  <si>
    <t>3/4" 782SS 300# W/1/16"PF SS SCN</t>
  </si>
  <si>
    <t>1" 782SS 300# W/1/16" PFSS SCN</t>
  </si>
  <si>
    <t>1-1/2" 782SS 300# W/1/16" PF SS SCN</t>
  </si>
  <si>
    <t>1-1/2" 782SSWE 300# W/1/16" PF SS SCN</t>
  </si>
  <si>
    <t>5-13/16" X 5-3/16" X 1/16" 316SS TNGD GPHL (SIN)</t>
  </si>
  <si>
    <t>BTM RNG INC 625 (4" 125)</t>
  </si>
  <si>
    <t>4" 126FCS 300# W/1/16"PF SS BSK</t>
  </si>
  <si>
    <t>1-7/8X2-5/16X1/16 316SSTNGD  GPHT GSKT</t>
  </si>
  <si>
    <t>5-1/8" X 5-3/4" X 1/16"316SS TNGD GPHT (SIN)</t>
  </si>
  <si>
    <t>4-3/16" X 4-5/8" X 1/16"316SS TNGD GPHT (SIN)</t>
  </si>
  <si>
    <t>3-11/16" X 4-5/16" X 1/16 316SS TNGD GPHT (SIN)</t>
  </si>
  <si>
    <t>3-1/8" X 3-7/16" X 1/16"316SS TNGD GPHT (SIN)</t>
  </si>
  <si>
    <t>2-3/4" X 3-1/4" X 1/16"316SS TNG D GPHT GSKT</t>
  </si>
  <si>
    <t>16" 721 CI 125# FLG  TRIPLE FCTN CTRL CV</t>
  </si>
  <si>
    <t>14" 758-N 125# W/1/8" PFSS SCN</t>
  </si>
  <si>
    <t>16" 758-N 125# W/1/8" PFSS SCN</t>
  </si>
  <si>
    <t>1-1/8X1-15/32X1/16 316SSTNG D GPHT GSKT</t>
  </si>
  <si>
    <t>3-5/8" X 4-5/8" X 1/16"316SS TNGD GPHT GSKT</t>
  </si>
  <si>
    <t>9-1/2" X 10-1/4" X 1/16"316SSTNGD GPHT GSKT</t>
  </si>
  <si>
    <t>7-3/4" X 8-13/16" X 1/16" 316SS TNGD GPHT GSKT</t>
  </si>
  <si>
    <t>10-13/16"X9-11/16"X1/16"316SS TNG D GPHT GSKT</t>
  </si>
  <si>
    <t>6" X 6-3/4" X 1/16" 316SS TNGD GPHT GSKT</t>
  </si>
  <si>
    <t>16" 691 MALE UPR SFT 304SS</t>
  </si>
  <si>
    <t>16" 691 FEM LWR SFT 304SS (SIN)</t>
  </si>
  <si>
    <t>2-7/16" X 2" X 1/16" 316SS TNGD GPHL GSKT (SIN)</t>
  </si>
  <si>
    <t>1-13/16" X 1-9/16" X 1/16" 316SS TNGD GPHL (SIN)</t>
  </si>
  <si>
    <t>11-5/8" X 12-13/16" X 1/16" 316SS TNGD GPHT(SIN)</t>
  </si>
  <si>
    <t>6" 126FCS 300# W/1/8" PFSS BSK</t>
  </si>
  <si>
    <t>2" 150 1601-A  CHX CS BN-N</t>
  </si>
  <si>
    <t>CHEXTER</t>
  </si>
  <si>
    <t>2 3/600 1603/1605-A CSBN-N</t>
  </si>
  <si>
    <t>2-1/2  150 1601-A CHX CS BN-N BN N</t>
  </si>
  <si>
    <t>3  150 1601-A  CHX CS BN-N</t>
  </si>
  <si>
    <t>3 3/600 1603/1605A CHXCSS BN</t>
  </si>
  <si>
    <t>4  150 1601-A  CHX CS BN-N</t>
  </si>
  <si>
    <t>4  600 1605-A  CHX CS SFT BN</t>
  </si>
  <si>
    <t>5  150 1601-A  CHX SFTBN-N</t>
  </si>
  <si>
    <t>6  150 1601-A  CHX CS BN-N</t>
  </si>
  <si>
    <t>6  600 1605-A  CHX CS BN-N</t>
  </si>
  <si>
    <t>8  150 1601-A  CHX CS BN-N</t>
  </si>
  <si>
    <t>8  600 1605-A  CHX CS SFT</t>
  </si>
  <si>
    <t>10  150 1601-A  CHX CS BN-N</t>
  </si>
  <si>
    <t>10  600 1605-A  CHX CS SFT</t>
  </si>
  <si>
    <t>12  150 1601-A  CHX CS</t>
  </si>
  <si>
    <t>2  150 1601-AC CHX CS SFT TFE</t>
  </si>
  <si>
    <t>2 3/600 1603/1605-AC CSSS TF</t>
  </si>
  <si>
    <t>2-1/2  150 1601-AC CHXCS SS TFE</t>
  </si>
  <si>
    <t>2-1/2 3/600 1603/1605-AC CS S TFE</t>
  </si>
  <si>
    <t>3 150 1601-AC CHX TFE</t>
  </si>
  <si>
    <t>3 3/600 1603/1605-AC CHX</t>
  </si>
  <si>
    <t>4  150 1601-AC CHX TFE</t>
  </si>
  <si>
    <t>4  300 1603-AC CHX TFE</t>
  </si>
  <si>
    <t>4  600 1605-AC CHX CS SFT TF</t>
  </si>
  <si>
    <t>5  150 1601-AC CHX CS SFT TF</t>
  </si>
  <si>
    <t>6  150 1601-AC CHX TFE</t>
  </si>
  <si>
    <t>6  300 1603-AC CHX SFTTFE</t>
  </si>
  <si>
    <t>6  600 1605-AC CS SFT ST</t>
  </si>
  <si>
    <t>8 150 1601-AC CHX TFE</t>
  </si>
  <si>
    <t>8  600 1605-AC CHX CS SFT ST</t>
  </si>
  <si>
    <t>10  150 1601-AC CS TFE</t>
  </si>
  <si>
    <t>12  150 1601-AC CHX CS SFT</t>
  </si>
  <si>
    <t>12  600 1605-AC CHX CS SFT ST</t>
  </si>
  <si>
    <t>2  150 1601-C  CHX TFE</t>
  </si>
  <si>
    <t>2 3/600 1603/1605-C  CHX TFE</t>
  </si>
  <si>
    <t>2-1/2  150 1601-C  316SS TFE</t>
  </si>
  <si>
    <t>3  150 1601-C  CHX TFE</t>
  </si>
  <si>
    <t>3 600 1605-C CHX TFE</t>
  </si>
  <si>
    <t>4  150 1601-C  CHX SFTTFE</t>
  </si>
  <si>
    <t>4  300 1603-C  CHX 316SS TFE</t>
  </si>
  <si>
    <t>5  150 1601-C  CHX 316SS TFE</t>
  </si>
  <si>
    <t>6  150 1601-C  CHX TFE</t>
  </si>
  <si>
    <t>6  300 1603-C  CHX 316SS TFE</t>
  </si>
  <si>
    <t>8  150 1601-C  CHX</t>
  </si>
  <si>
    <t>10  150 1601-C  CHX 316SS SFT</t>
  </si>
  <si>
    <t>10  300 1603-C  CHX 316SS SFT</t>
  </si>
  <si>
    <t>12  150 1601-C  CHX 316SS SFT</t>
  </si>
  <si>
    <t>2  125 1600-D  CHX CI BN-N</t>
  </si>
  <si>
    <t>3  125 1600-D  CHX CI BN-N</t>
  </si>
  <si>
    <t>3  250 1602-D  CHX CI BN-N</t>
  </si>
  <si>
    <t>4  125 1600-D  CHX CI SFT BN</t>
  </si>
  <si>
    <t>4  250 1602-D  CHX CI BN-N</t>
  </si>
  <si>
    <t>5  125 1600-D  CHX CI BN-N</t>
  </si>
  <si>
    <t>5  250 1602-D  CHX CI SFT BN</t>
  </si>
  <si>
    <t>6  125 1600-D  CHX CI SFT BN</t>
  </si>
  <si>
    <t>8  125 1600-D  CHX CI BN</t>
  </si>
  <si>
    <t>8  250 1602-D  CHX CI SFT</t>
  </si>
  <si>
    <t>10  125 1600-D  CHX CI</t>
  </si>
  <si>
    <t>12  125 1600-D  CHX CI</t>
  </si>
  <si>
    <t>DISC 16 125-150  CHX DINI PL (OSV)</t>
  </si>
  <si>
    <t>SL HSG 12 1-6 RF 316SSSFT (OSV)</t>
  </si>
  <si>
    <t>DISC  5  125-600 DCTL IRON NI PLL CHX (OSV)</t>
  </si>
  <si>
    <t>DISC  6 125-1500 DI NI PL (OSV)</t>
  </si>
  <si>
    <t>DISC  8 125-400 DI ENC(OSV)</t>
  </si>
  <si>
    <t>DISC  8  600-900 DCTL IRON NI PLL CHX (OSV)</t>
  </si>
  <si>
    <t>DISC 10 125-400 CHX DI ENC (OSV)</t>
  </si>
  <si>
    <t>DISC 10  600-900 DCTL IRON NI PL CHX (OSV)</t>
  </si>
  <si>
    <t>DISC 12 &amp; 14  125-400 DCTL IRON NI PL CHX OSV</t>
  </si>
  <si>
    <t>DISC  2 125-5000 CHX 316SS</t>
  </si>
  <si>
    <t>DISC 2-1/2 125-1500 316SS CHX</t>
  </si>
  <si>
    <t>DISC - 3" 125-1500 CHX316SS</t>
  </si>
  <si>
    <t>DISC 4 125-900 CHX 316SS</t>
  </si>
  <si>
    <t>DISC  5 125-600  CHX 316SS</t>
  </si>
  <si>
    <t>DISC  6 125-1500 CHX 316SS</t>
  </si>
  <si>
    <t>DISC  8 125-400  316SS CHX</t>
  </si>
  <si>
    <t>DISC  8  600-900 CHX 316SS</t>
  </si>
  <si>
    <t>DISC 10 125-400  CHX 316SS</t>
  </si>
  <si>
    <t>DISC 12/14 125-400 CHX 316SS</t>
  </si>
  <si>
    <t>DISC 12 &amp; 14  600-900 316SS CHX</t>
  </si>
  <si>
    <t>HNG PIN 2 125-600/2000 316S</t>
  </si>
  <si>
    <t>HNG PIN 2'9-15/2-1/2 125-15</t>
  </si>
  <si>
    <t>HNG PIN 3 125-1500 CHX 316SS</t>
  </si>
  <si>
    <t>HNG PIN 4 125-1500 316SS</t>
  </si>
  <si>
    <t>HNG PIN 5 125-600 CHX 316SS</t>
  </si>
  <si>
    <t>HNG PIN 6" 125-1500 316SS</t>
  </si>
  <si>
    <t>HNG PIN 8 125-900 CHX 316SS</t>
  </si>
  <si>
    <t>HNG PIN 10 125-900 CHX 316SS</t>
  </si>
  <si>
    <t>HNG PN 10 1500/12/14 125-900</t>
  </si>
  <si>
    <t>SL-H 16 1-6 CHX V</t>
  </si>
  <si>
    <t>SL  2  125-900 CHX TFE</t>
  </si>
  <si>
    <t>SL 2-1/2 125-900 MACH TFE CHX</t>
  </si>
  <si>
    <t>SL 3/3-1/2 125-900 MACHTFE</t>
  </si>
  <si>
    <t>SL  4  125-900 CHX TFE</t>
  </si>
  <si>
    <t>SL  5 125-900 CHX MACH TFE</t>
  </si>
  <si>
    <t>SL  6  125-900 CHX TFE</t>
  </si>
  <si>
    <t>SL  8 125-900 CHX MACH TFE</t>
  </si>
  <si>
    <t>SL 10 125-900 CHX TFE</t>
  </si>
  <si>
    <t>SL 12 &amp; 14 125-900 MACHTFE</t>
  </si>
  <si>
    <t>LIP SL  2 125-9 80 DUROBN N</t>
  </si>
  <si>
    <t>2-1/2 125-900 ANSI 80 DURO BN N CHX LIP SL</t>
  </si>
  <si>
    <t>SL 3/3-1/2 125-900 BN N</t>
  </si>
  <si>
    <t>LIP SL  4 125-900 80 BNN</t>
  </si>
  <si>
    <t>LIP SL  5 125-900 80 BNN</t>
  </si>
  <si>
    <t>LIP SL  6 125-900 80 BN</t>
  </si>
  <si>
    <t>LIP SL  8 125-900 80 BNN</t>
  </si>
  <si>
    <t>LIP SL 10 125-900 80 BNN</t>
  </si>
  <si>
    <t>LIP SL 12 &amp; 14" 900 BN NCHX</t>
  </si>
  <si>
    <t>SPG  2 125-600 INC</t>
  </si>
  <si>
    <t>2-1/2 125-600 RF INC CHXSP RNG</t>
  </si>
  <si>
    <t>SPG  3 125-600 CHX INC</t>
  </si>
  <si>
    <t>SPG  4 125-600 CHX INC</t>
  </si>
  <si>
    <t>SPG  5 CHX INC STD</t>
  </si>
  <si>
    <t>SPG  6 125-600 INC</t>
  </si>
  <si>
    <t>SPG  8 125-600 &amp; 1500 CHX INC</t>
  </si>
  <si>
    <t>SPG 10 125-900 CHX INC</t>
  </si>
  <si>
    <t>SPG 12/14 125-600 CHX INC</t>
  </si>
  <si>
    <t>1/8" NPT HX SKT PIPE PLGCS (A105,A36 OR EQUAL)</t>
  </si>
  <si>
    <t>3/4" NPT HX SKT PIPE PLGCS</t>
  </si>
  <si>
    <t>1/8" NPT HX SKT PIPE PLG316SS</t>
  </si>
  <si>
    <t>16  125 1600-D  CHX HARDST</t>
  </si>
  <si>
    <t>5  300 1603-AC CHX CS TFE</t>
  </si>
  <si>
    <t>3" 166DI 300# W/1/16" PFSS BSK</t>
  </si>
  <si>
    <t>6" 166DI 300# W/1/8" PFSS BSK</t>
  </si>
  <si>
    <t>8" 166DI 300# W/1/8" PFSS BSK</t>
  </si>
  <si>
    <t>10" 166DI 300# W/1/8" PFSS BSK</t>
  </si>
  <si>
    <t>2-1/2" 166DI 300# W/1/16" PF SS BSK</t>
  </si>
  <si>
    <t>3/4" 125FSS 150# W/1/16"PF SS BSK</t>
  </si>
  <si>
    <t>1" 126FCS 300# W/1/16" PF SS BSK</t>
  </si>
  <si>
    <t>2" 794SHH 300# W/1/16" PF SS BSK</t>
  </si>
  <si>
    <t>3/8  581SS-N 600# W/1/16PF SS SCN</t>
  </si>
  <si>
    <t>1/16" PF SS SCN (3" 758Y-STR)</t>
  </si>
  <si>
    <t>1/16" PF SS SCN (2-1/2"351M/352M Y STR)</t>
  </si>
  <si>
    <t>5/32" PF; 100ML SS SCN(1" 351M/352M Y STR)</t>
  </si>
  <si>
    <t>5/32" PF; 100ML SS SCN (2" 351M/352M/353.5M Y ST</t>
  </si>
  <si>
    <t>5/32" PF; 100ML SS SCN(1" 11M Y-STR)</t>
  </si>
  <si>
    <t>5/32" PF; 100ML SS SCN (1-1/4" 11M Y-STR)</t>
  </si>
  <si>
    <t>5/32" PF; 100ML SS SCN (1-1/2" 11M Y-STR)</t>
  </si>
  <si>
    <t>5/32" PF; 100ML SS SCN (2" 11M Y-STR)</t>
  </si>
  <si>
    <t>5/32" PF; 40ML SS SCN (1" 11M Y STR)</t>
  </si>
  <si>
    <t>1/8" PF SS SCN (6" 758Y-STR)</t>
  </si>
  <si>
    <t>1/4" 11M 250# W/5/32" PF; 100ML SS SCN</t>
  </si>
  <si>
    <t>5/32" PF; 40ML SS SCN(1/4" 861/862 Y STR)</t>
  </si>
  <si>
    <t>3/8" 11M 250# W/5/32" PF; 100ML SS SCN</t>
  </si>
  <si>
    <t>1/2" 11M 250# W/5/32" PF; 40ML SS SCN</t>
  </si>
  <si>
    <t>1/2" 11M 250# W/5/32" PF; 100ML SS SCN</t>
  </si>
  <si>
    <t>5/32" PF; 20ML SS SCN(1/4",3/8",1/2" 251)</t>
  </si>
  <si>
    <t>5/32" PF; 60ML SS SCN (1/4",3/8",1/2" 351M/352M/</t>
  </si>
  <si>
    <t>5/32" PF; 80ML SS SCN (1/4",3/8",1/2" 351M/352M/</t>
  </si>
  <si>
    <t>1/2" 581CS 600# W/5/32"PF; 40ML SS SCN</t>
  </si>
  <si>
    <t>1/2" 581CS 600# W/5/32"PF; 100ML SS SCN</t>
  </si>
  <si>
    <t>1/2" 581SS 600# W/5/32"PF; 40ML SS SCN</t>
  </si>
  <si>
    <t>1/2" 581SS 600# W/5/32"PF; 100ML SS SCN</t>
  </si>
  <si>
    <t>1/2" 582CS 600# W/5/32"PF; 40ML SS SCN</t>
  </si>
  <si>
    <t>1/2" 582CS 600# W/5/32"PF; 100ML SS SCN</t>
  </si>
  <si>
    <t>1/2" 582SS 600# W/5/32"PF; 40ML SS SCN</t>
  </si>
  <si>
    <t>1/2" 582SS 600# W/5/32"PF; 100ML SS SCN</t>
  </si>
  <si>
    <t>3/4" 11M 250# W/5/32" PF; 40ML SS SCN</t>
  </si>
  <si>
    <t>3/4" 11M 250# W/5/32"PF; 100ML SS SCN</t>
  </si>
  <si>
    <t>5/32" PF; 20ML SS SCN (3/4" 251 Y-STR)</t>
  </si>
  <si>
    <t>5/32" PF; 60ML SS SCN (3/4" 351M/352M Y STR)</t>
  </si>
  <si>
    <t>5/32" PF; 60ML SS SCN (3/4" 581/582 Y STR)</t>
  </si>
  <si>
    <t>3/4" 581CS 600# W/5/32"PF; 40ML SS SCN</t>
  </si>
  <si>
    <t>3/4" 581CS 600# W/5/32"PF; 100ML SS SCN</t>
  </si>
  <si>
    <t>3/4" 581SS 600# W/5/32"PF; 40ML SS SCN</t>
  </si>
  <si>
    <t>3/4" 581SS 600# W/5/32"PF; 100ML SS SCN</t>
  </si>
  <si>
    <t>3/4" 582CS 600# W/5/32"PF; 100ML SS SCN</t>
  </si>
  <si>
    <t>1" 11M 250# W/5/32" PF;40ML SS SCN</t>
  </si>
  <si>
    <t>1" 11M 250# W/5/32" PF;100ML SS SCN</t>
  </si>
  <si>
    <t>1" 125CI 125# W/5/32" PF; 100ML SS BSK</t>
  </si>
  <si>
    <t>5/32" PF; 20ML SS SCR (1" 251 Y-STR)</t>
  </si>
  <si>
    <t>5/32" PF; 20ML SS SCN (3/4" &amp; 1" 761/762/781 STR</t>
  </si>
  <si>
    <t>5/32" PF; 40ML SS SCN(1" 351M/352M Y STR)</t>
  </si>
  <si>
    <t>5/32" PF; 40ML SS SCN(1" 581/582 Y STR)</t>
  </si>
  <si>
    <t>5/32" PF; 40ML SS SCN (861/862 Y STR)</t>
  </si>
  <si>
    <t>5/32" PF; 60ML SS SCN(1" 11M Y-STR)</t>
  </si>
  <si>
    <t>5/32" PF; 60ML SS SCN(1" 351M/352M Y STR)</t>
  </si>
  <si>
    <t>5/32" PF; 60ML SS SCN(1" 581/582 Y STR)</t>
  </si>
  <si>
    <t>5/32" PF; 80ML SS SCN (1" 11M Y STR)</t>
  </si>
  <si>
    <t>5/32" PF; 100ML SS SCN(1" 581/582 Y STR)</t>
  </si>
  <si>
    <t>5/32" PF; 100ML SS SCN(1" 861/862 Y STR)</t>
  </si>
  <si>
    <t>5/32" PF; 20ML SS BSK(3/4" &amp; 1" 125/126 BSK S</t>
  </si>
  <si>
    <t>5/32" PF; 80ML SS BSK(1" 125/126 BSK STR)</t>
  </si>
  <si>
    <t>5/32" PF; 100ML SS BSK(1" 125/126 BSK STR)</t>
  </si>
  <si>
    <t>1" 581CS 600# W/5/32" PF; 100ML SS SCN</t>
  </si>
  <si>
    <t>1" 581SS 600# W/5/32" PF; 40ML SS SCN</t>
  </si>
  <si>
    <t>1" 582CS 600# W/5/32" PF; 40ML SS SCN</t>
  </si>
  <si>
    <t>1" 582CS 600# W/5/32" PF; 100ML SS SCN</t>
  </si>
  <si>
    <t>1" 582SS 600# W/5/32" PF; 100ML SS SCN</t>
  </si>
  <si>
    <t>1-1/4" 11M 250# W/5/32"PF; 40ML SS SCN</t>
  </si>
  <si>
    <t>1-1/4" 11M 250# W/5/32"PF; 100ML SS SCN</t>
  </si>
  <si>
    <t>5/32" PF; 40ML SS SCN (1-1/4" 11M Y STR)</t>
  </si>
  <si>
    <t>5/32" PF; 60ML SS SCN (1-1/4" 11M Y STR)</t>
  </si>
  <si>
    <t>5/32" PF; 100ML SS SCN1-1/4" 351M/352M/353.5M</t>
  </si>
  <si>
    <t>5/32" PF ;100ML SS SCN (1-1/4" 581/582 Y-STR)</t>
  </si>
  <si>
    <t>1-1/4" 581SS 600# W/5/32" PF; 100ML SS SCN</t>
  </si>
  <si>
    <t>1-1/2" 11M 250# W/5/32"PF; 40ML SS SCN</t>
  </si>
  <si>
    <t>1-1/2" 11M 250# W/5/32"PF; 100ML SS SCN</t>
  </si>
  <si>
    <t>1-1/2" 125CI 125# W/5/32" PF; 40ML SS BSK</t>
  </si>
  <si>
    <t>5/32" PF; 40ML SS SCN (1-1/2" 11M Y-STR)</t>
  </si>
  <si>
    <t>5/32" PF; 40ML SS SCN(1-1/2" 581/582 Y STR)</t>
  </si>
  <si>
    <t>5/32" PF; 60ML SS SCN(1-1/2" 11M Y-STR)</t>
  </si>
  <si>
    <t>5/32" PF; 100ML SS SCN (1-1/2" 351M/352M Y STR)</t>
  </si>
  <si>
    <t>5/32" PF; 100ML SS SCN (1-1/2" 581/582 Y STR)</t>
  </si>
  <si>
    <t>5/32" PF; 20ML SS BSKT (1-1/2" BSKT STR)</t>
  </si>
  <si>
    <t>5/32" PF; 40ML SS BSK (1-1/4" &amp; 1-1/2" 125/126)</t>
  </si>
  <si>
    <t>5/32" PF; 80ML SS BSK (1-1/2" 125/126 BSK STR)</t>
  </si>
  <si>
    <t>5/32" PF; 100ML SS (1-1/2" 125 BSK STR)</t>
  </si>
  <si>
    <t>1-1/2" 581CS 600# W/5/32" PF; 40ML SS SCN</t>
  </si>
  <si>
    <t>1-1/2" 581CS 600# W/5/32" PF; 100ML SS SCN</t>
  </si>
  <si>
    <t>1-1/2" 581SS 600# W/5/32" PF; 100ML SS SCN</t>
  </si>
  <si>
    <t>1-1/2" 582CS 600# W/5/32" PF; 40ML SS SCN</t>
  </si>
  <si>
    <t>2" 11M 250# W/5/32" PF;40ML SS SCN</t>
  </si>
  <si>
    <t>2" 11M 250# W/5/32" PF;100ML SS SCN</t>
  </si>
  <si>
    <t>2" 125CI 125# W/5/32" PF; 40ML SS BSK</t>
  </si>
  <si>
    <t>2" 125CI 125# W/5/32" PF; 100ML SS BSK</t>
  </si>
  <si>
    <t>2" 251DI 300# W/5/32" PF; 40ML SS SCN</t>
  </si>
  <si>
    <t>5/32" PF; 20ML SS SCN(2" 781/782/758 Y STR)</t>
  </si>
  <si>
    <t>5/32" PF; 40ML SS SCN(2" 11M Y-STR)</t>
  </si>
  <si>
    <t>5/32" PF  40 MSH LN  SSSCN 2" SCW D Y-STR</t>
  </si>
  <si>
    <t>5/32" PF; 40ML SS SCN (2" 351M/352M Y STR)</t>
  </si>
  <si>
    <t>5/32" PF; 40ML SS SCN (2" 581/582 Y STR)</t>
  </si>
  <si>
    <t>5/32" PF; 40ML SS SCN(2" 781/782/758 Y STR)</t>
  </si>
  <si>
    <t>5/32" PF; 60 MSH LND SSSCR (2" SCD Y-STR</t>
  </si>
  <si>
    <t>5/32" PF; 60ML SS SCN(2" 581/582 Y STR)</t>
  </si>
  <si>
    <t>5/32" PF; 80ML SS SCN(2" 11M Y-STR)</t>
  </si>
  <si>
    <t>5/32" PF; 80ML SS SCN (2" 351M/352M/353.5M Y S</t>
  </si>
  <si>
    <t>5/32" PF  80 MSH LN  SSSCN 2" FLG  Y-STR</t>
  </si>
  <si>
    <t>5/32" PF; 100ML SS SCN (2" 581/582 Y STR)</t>
  </si>
  <si>
    <t>5/32" PF; 100ML SS SCN(2" 861/862 Y STR)</t>
  </si>
  <si>
    <t>5/32" PF; 100ML SS SCN(2" 781/782/758 Y STR)</t>
  </si>
  <si>
    <t>5/32" PF; 20ML SS BSK(2" 125/126 BSK STR)</t>
  </si>
  <si>
    <t>5/32" PF; 40ML SS BSK (2125/126 BSK STR)</t>
  </si>
  <si>
    <t>5/32" PF; 60ML SS BSK(2" 125/126 BSK STR)</t>
  </si>
  <si>
    <t>5/32" PF; 100ML SS BSK(2" 125/126 BSK STR)</t>
  </si>
  <si>
    <t>2" 581CS 600# W/5/32" PF; 40ML SS SCN</t>
  </si>
  <si>
    <t>2" 581CS 600# W/5/32" PF; 100ML SS SCN</t>
  </si>
  <si>
    <t>2" 582CS 600# W/5/32" PF; 40ML SS SCN</t>
  </si>
  <si>
    <t>2" 582CS 600# W/5/32" PF; 100ML SS SCN</t>
  </si>
  <si>
    <t>2" 758 125# W/5/32" PF;40ML SS SCN</t>
  </si>
  <si>
    <t>2" 764CS 600# W/5/32" PF; 40ML SS SCN</t>
  </si>
  <si>
    <t>2" 764CS 600# W/5/32" PF; 100ML SS SCN</t>
  </si>
  <si>
    <t>2" 781CS 150# W/5/32" PF; 40ML SS SCN</t>
  </si>
  <si>
    <t>2" 781CS 150# W/5/32" PF; 100ML SS SCN</t>
  </si>
  <si>
    <t>2" 782CS 300# W/5/32" PF; 40ML SS SCN</t>
  </si>
  <si>
    <t>2" 782CS 300# W/5/32" PF; 100ML SS SCN</t>
  </si>
  <si>
    <t>5/32" PF; 100ML SS SCN (2-1/2" 11M Y-STR)</t>
  </si>
  <si>
    <t>3" 125CI 125# W/5/32" PF; 40ML SS BSK</t>
  </si>
  <si>
    <t>3" 185SS 150# W/5/32" PF; 100ML SS BSK</t>
  </si>
  <si>
    <t>5/32" PF; 20ML SS SCN 3"752 Y STR)</t>
  </si>
  <si>
    <t>5/32" PF; 20ML SS SCN(3" 758 Y-STR)</t>
  </si>
  <si>
    <t>5/32" PF; 40ML SS SCN(3" 758 FLG Y STR)</t>
  </si>
  <si>
    <t>5/32" PF; 60ML SS SCN(3" 758 Y-STR)</t>
  </si>
  <si>
    <t>5/32" PF; 80ML SS SCN(3" 758 Y STR)</t>
  </si>
  <si>
    <t>5/32" PF; 100ML SS SCN(3" 758 Y-STR)</t>
  </si>
  <si>
    <t>5/32" PF; 40ML SS BSK(3" 125/126 BSK STR)</t>
  </si>
  <si>
    <t>5/32" PF; 100ML SS BSK(3" 185/186 BSK STR)</t>
  </si>
  <si>
    <t>3" 758 125# W/5/32" PF;40ML SS SCN</t>
  </si>
  <si>
    <t>3" 758 125# W/5/32" PF;100ML SS SCN</t>
  </si>
  <si>
    <t>3" 764CS 600# W/5/32"PF; 40ML SS SCN</t>
  </si>
  <si>
    <t>3" 782CS 300# W/5/32" PF; 40ML SS SCN</t>
  </si>
  <si>
    <t>3" 782CS 300# W/5/32" PF; 100ML SS SCN</t>
  </si>
  <si>
    <t>4" 185CS 150# W/5/32" PF; 40ML SS BSK</t>
  </si>
  <si>
    <t>5/32" PF; 20ML SS SCN(4" 781/782/758 Y STR)</t>
  </si>
  <si>
    <t>5/32" PF; 100ML SS SCN(4" 781/782/758 Y STR)</t>
  </si>
  <si>
    <t>5/32" PF; 40ML SS BSK(4" 185/186 BSK STR)</t>
  </si>
  <si>
    <t>4" 758 CI 125# W/5/32" PF; 40ML SS SCN</t>
  </si>
  <si>
    <t>4" 758 CI 125# FLG  Y STR 5/32" PF 100ML SS</t>
  </si>
  <si>
    <t>4" 781CS 150# W/5/32" PF; 40ML SS SCN</t>
  </si>
  <si>
    <t>4" 781CS 150# W/5/32" PF; 100ML SS SCN</t>
  </si>
  <si>
    <t>5/32" PF; 40ML SS SCN(6" 758 Y-STR)</t>
  </si>
  <si>
    <t>5/32" PF; 100ML SS SCN(6" 781/782 Y STR)</t>
  </si>
  <si>
    <t>6" 758 CI 125# W/5/32" PF; 40ML SS SCN</t>
  </si>
  <si>
    <t>6" 758 CI 125# W/5/32" PF; 100ML SS SCN</t>
  </si>
  <si>
    <t>6" 781CS 150# W/5/32" PF; 40ML 316SS SCN</t>
  </si>
  <si>
    <t>6" 781CS 150# W/ 5/32"PF; 100ML SS SCN</t>
  </si>
  <si>
    <t>1/16" PF SS SCN (2-1/2"&amp; 3" 11M Y STR)</t>
  </si>
  <si>
    <t>1/16" PF SS SCN (1" 581/582 Y STR)</t>
  </si>
  <si>
    <t>1/16" PF SS SCN (1" 861/862 Y-STR)</t>
  </si>
  <si>
    <t>1/16" PF SS SCN (1-1/4"SCWD Y-STR)</t>
  </si>
  <si>
    <t>1/16" PF SS SCN (1-1/2"861/862 Y STR)</t>
  </si>
  <si>
    <t>1/16" PF SS SCN (2" 861/862 Y STR)</t>
  </si>
  <si>
    <t>5/32" PF; 40ML SS SCN(1-1/4" 581/582 Y STR)</t>
  </si>
  <si>
    <t>5/32" PF; 80ML SS SCN (1-1/4" 581/582 Y STR)</t>
  </si>
  <si>
    <t>5/32" PF; 80ML SS SCN(1" 581/582 Y STR)</t>
  </si>
  <si>
    <t>5/32" PF; 80ML SS SCN(1-1/2" 581/582 Y STR)</t>
  </si>
  <si>
    <t>5/32" PF; 80ML SS SCN(2" 581/582 Y STR)</t>
  </si>
  <si>
    <t>5/32" PF; 100ML SS SCN(1-1/2" 861/862 Y STR)</t>
  </si>
  <si>
    <t>5/32" PF; 80ML SS SCN (1-1/4" 11M Y-STR)</t>
  </si>
  <si>
    <t>5/32" PF; 80ML SS SCN (1-1/2" 11M Y-STR)</t>
  </si>
  <si>
    <t>1/16" PF SS SCN (3" SCWD Y-STR)</t>
  </si>
  <si>
    <t>1/8" PF SS SCN (18" 758FLG Y STR)</t>
  </si>
  <si>
    <t>5/32" PF; 20ML SS SCN(18" 758 Y-STR)</t>
  </si>
  <si>
    <t>5/32" PF; 80ML SS SCN(1/4"-1/2" 11M Y STR)</t>
  </si>
  <si>
    <t>5/32" PF; 100ML SS SCN(1/4",3/8",1/2" 11M)</t>
  </si>
  <si>
    <t>5/32" PF; 60 MSH LND SSSCN (1/2" SCWD Y-STR)</t>
  </si>
  <si>
    <t>5/32" PF; 80ML SCN (1/2"11M Y-STR)</t>
  </si>
  <si>
    <t>5/32" PF; 100ML SS SCN(1/2" 11M Y-STR)</t>
  </si>
  <si>
    <t>5/32" PF  60 MSH LN  SSSCN 3/4" SCW D Y-STR</t>
  </si>
  <si>
    <t>5/32" PF; 80ML SS SCN (3/4" 11M Y-STR)</t>
  </si>
  <si>
    <t>5/32" PF; 100ML SS SCN(3/4" 11M Y-STR)</t>
  </si>
  <si>
    <t>5/32" PF  60 MSH LN  SSSCN 3" SCR Y-STR</t>
  </si>
  <si>
    <t>5/32" PF; 100ML SS SCN (2-1/2" &amp; 3" 11M Y STR)</t>
  </si>
  <si>
    <t>5/32" PF; 80ML SS SCN (2-1/2" &amp; 3" 11M Y STR)</t>
  </si>
  <si>
    <t>1/16" PF SS SCN (2" 781/782/758 Y-STR)</t>
  </si>
  <si>
    <t>5/32" PF; 80ML SS SCN(2" 781/782/758 Y STR)</t>
  </si>
  <si>
    <t>5/32" PF; 60ML SS SCN(2" 781/782/758 Y STR)</t>
  </si>
  <si>
    <t>1/16" PF SS SCN (2-1/2"781/782/758 Y STR)</t>
  </si>
  <si>
    <t>1/16" PF SS SCN (4" 781/782/758 Y STR)</t>
  </si>
  <si>
    <t>1/8" PF SS SCN (5" 781/758 Y STR)</t>
  </si>
  <si>
    <t>1/8" PF SS SCN (8" 781/782/758 Y STR)</t>
  </si>
  <si>
    <t>5/32" PF; 20ML SS SCN(8" 781/782/758 Y STR)</t>
  </si>
  <si>
    <t>5/32" PF; 40ML SS SCN(10" 781/782/758 Y STR)</t>
  </si>
  <si>
    <t>1/8" PF SS SCN (18" 781/782 Y STR)</t>
  </si>
  <si>
    <t>1/8" PF SS SCN (20" FLGDY-STR)</t>
  </si>
  <si>
    <t>1/8" PF SS SCN (24" 781/782/758 Y STR)</t>
  </si>
  <si>
    <t>5/32" PF; 100ML SS SCN (2-1/2" 781/782/758 Y STR</t>
  </si>
  <si>
    <t>1/16" PF; 20ML SS BSK(3" 125/126 BSK STR)</t>
  </si>
  <si>
    <t>5/32" PF; 80ML SS SCN(4" 781/782/758 Y STR)</t>
  </si>
  <si>
    <t>20 MSH SS SCN (1/4"/3/8"/1/2" Y STR)</t>
  </si>
  <si>
    <t>20 MSH SS SCN (3/4" 11MY-STR)</t>
  </si>
  <si>
    <t>1/16" PF SS BSKT (4" FLGBSKT STR)</t>
  </si>
  <si>
    <t>5/32" PF  40 MSH LN  SSSCN</t>
  </si>
  <si>
    <t>5/32" PF; 20ML SS SCN(1/2" 761/762/781/782)</t>
  </si>
  <si>
    <t>20 MSH 304SS SCN (2" 11MY STR)</t>
  </si>
  <si>
    <t>1/16" PF SS BSK(3/4"&amp; 1125F/126F,1" 125S BSK)</t>
  </si>
  <si>
    <t>5/32" PF  100 MSH LN  SSSCN</t>
  </si>
  <si>
    <t>5/32" PF; 40 MSH LND SSBSKT (10" FLG BSKT STR)</t>
  </si>
  <si>
    <t>3/4" 251DI 300# DI SCWDYSTR 5/32"PF 100 ML SS</t>
  </si>
  <si>
    <t>1/2" 251DI 300# DI SCWDYSTR 5/32"PF 100MLSS SCN</t>
  </si>
  <si>
    <t>3/4" 251DI 300# DI SCWDYSTR 5/32"PF 40MLSS SCN</t>
  </si>
  <si>
    <t>1/2" 251DI 300# DI SCWDYSTR 5/32"PF 40 ML SS</t>
  </si>
  <si>
    <t>5/32" PF; 60ML SS SCN(1-1/2" 861/862 Y STR)</t>
  </si>
  <si>
    <t>6" 782CSWE 300# W/5/32"PF; 100ML SS SCN</t>
  </si>
  <si>
    <t>5/32" PF; 40ML SS (6"185/186 BSK STR)</t>
  </si>
  <si>
    <t>5/32" PF; 20ML SS BSKT (4" 125/126 BSK STR)</t>
  </si>
  <si>
    <t>5/32" PF; 40ML SS BSK(3/4",1" 125/126 BSK STR</t>
  </si>
  <si>
    <t>5/32" PF; 60ML SS BSK 6"155M/165 BSK STR)</t>
  </si>
  <si>
    <t>5/32" PF; 60ML SS BSKT (1-1/2" 125/126 BSK STR)</t>
  </si>
  <si>
    <t>3/4" 582SS 600# W/5/32"PF; 100ML SS SCN</t>
  </si>
  <si>
    <t>5/32" PF; 100ML SS SCN(3/4" 581/582 Y STR)</t>
  </si>
  <si>
    <t>2" 581SS 600# W/5/32" PF; 40ML SS SCN</t>
  </si>
  <si>
    <t>3" 155M 125# W/5/32" PF;40ML SS BSK</t>
  </si>
  <si>
    <t>5/32" PF; 40ML SS BSK(3" 155M/165 BSK STR)</t>
  </si>
  <si>
    <t>5/32" PF; 20ML SS BSK (4" 155M/165 BSK STR)</t>
  </si>
  <si>
    <t>5/32" PF; 60ML SS SCN (2-1/2" 781/782/758 Y STR)</t>
  </si>
  <si>
    <t>1-1/4" 251 DI 300# SCRDYSTR W/5/32"PF;40MLSS</t>
  </si>
  <si>
    <t>5/32" PF  40 MSH LN  SSSCN 1-1/4" SCR Y-STR</t>
  </si>
  <si>
    <t>3" 11M CI 250# W/5/32" PF; 100ML SS SCN</t>
  </si>
  <si>
    <t>1/16" PF SS BSK (2" 125/126 BSK STR)</t>
  </si>
  <si>
    <t>5/32" PF; 100ML 316SS BSK  (6" 125/126 BSK STR)</t>
  </si>
  <si>
    <t>1" 781CS 150# W/5/32" PF; 100ML SS SCN</t>
  </si>
  <si>
    <t>1/16" PF SS BSK (3" 125/126 BSK STR)</t>
  </si>
  <si>
    <t>5/32" PF; 20ML SS SCN (2-1/2" 781/782/758 Y STR)</t>
  </si>
  <si>
    <t>2" 781SS 150# W/5/32" PF; 40ML SS SCN</t>
  </si>
  <si>
    <t>4" 764CS 600# W/ 5/32"PF100 ML SS SCN</t>
  </si>
  <si>
    <t>1-1/2" 91-AT CI SLNT CVW/316SS TRIM</t>
  </si>
  <si>
    <t>1/16" PF SS BSK (1-1/2"125/126 BSK STR)</t>
  </si>
  <si>
    <t>1/16" PF SS SCN (1-1/4"&amp;1-1/2" 761/762/781/782</t>
  </si>
  <si>
    <t>1/4" 581SS 600# THD Y STR 5/32" PF  100 ML SS</t>
  </si>
  <si>
    <t>5/32" PF; 100ML SS SCN (2" 251 &amp; 11 Y STR)OLD ST</t>
  </si>
  <si>
    <t>2" 251 DI 300# W/5/32" PF; 100ML SS SCN</t>
  </si>
  <si>
    <t>1/8" PF SS BSKT (6" FLGBSKT STR)</t>
  </si>
  <si>
    <t>1/8" PF SS BSK (8" 185/186 BKS STR)</t>
  </si>
  <si>
    <t>1/16" PF SS SCN (3" 751/752 Y STR)</t>
  </si>
  <si>
    <t>5/32" PF; 80ML SS BSK(4" 185/186 BSK STR)</t>
  </si>
  <si>
    <t>1" 125SS 200 PSI WOG SCRBSK STR W/100MSH LND SS</t>
  </si>
  <si>
    <t>5/32" PF; 80ML SS SCN(1" 351M/352M/353.5MM)</t>
  </si>
  <si>
    <t>5/32" PF; 20ML SS BSK (3" 155M/165/166 BSK STR)</t>
  </si>
  <si>
    <t>5/32" PF; 20ML SS BSK(8" 125/126 BSK STR)</t>
  </si>
  <si>
    <t>5/32" PF; 80ML SS SCN(1/2" 581/582 Y STR)</t>
  </si>
  <si>
    <t>5/32" PF; 40ML SS BSK(8" 185/186 BSK STR)</t>
  </si>
  <si>
    <t>5/32" PF; 100ML SS (1-1/2" 761/781/782)</t>
  </si>
  <si>
    <t>1/16" PF SS BSK (4" 185/186 BSK STR)</t>
  </si>
  <si>
    <t>1/16" PF SS BSK (3" 155M/165 BSK STR)</t>
  </si>
  <si>
    <t>5/32" PF; 100ML SS SCN(5" 781/758)</t>
  </si>
  <si>
    <t>1/16" PF SS SCN 4" SCR Y-STR W/BC</t>
  </si>
  <si>
    <t>5/32" PF; 60ML SS BSK(3" 125/126 BSK STR)</t>
  </si>
  <si>
    <t>5/32" PF; 100ML SS SCN(1/2" 861/862 Y STR)</t>
  </si>
  <si>
    <t>1/16" PF SS BSK (4" 125/126 BSK STR)</t>
  </si>
  <si>
    <t>1/8" PF SS BSK (12" 155M/165 BSK STR)</t>
  </si>
  <si>
    <t>1/8" PF; 20ML SS SCN(10" SUC DIFF)</t>
  </si>
  <si>
    <t>1/16" PF SS BSK (3" 185/186 BSK STR)</t>
  </si>
  <si>
    <t>8" 781CS 150# W/5/32" PF; 40ML SS SCN</t>
  </si>
  <si>
    <t>5/32" PF; 20ML SS BSK (2-1/2" 155M/165 BSK STR)</t>
  </si>
  <si>
    <t>5/32" PF; 60ML SS SCN(1/2" 761/762/781/782 Y</t>
  </si>
  <si>
    <t>5/32" PF; 80ML SS BSK (2" 125/126 BSK STR)</t>
  </si>
  <si>
    <t>1-1/4" 581CS 600# W/5/32" PF; 100ML SS SCN</t>
  </si>
  <si>
    <t>5/32" PF; 100ML SS BSK(3" 125/126 BSK STR)</t>
  </si>
  <si>
    <t>5/32" PF  60 MSH LN  SSSCN (2-1/2" SCRD Y STR</t>
  </si>
  <si>
    <t>5/32" PF  40 MSH LN  SSSCN (3" SCW D Y STR</t>
  </si>
  <si>
    <t>4" 782CSWE 300# W/5/32"PF; 40ML SS SCN</t>
  </si>
  <si>
    <t>5/32" PF; 100ML SS BSK(4" 155M/165 BSK STR)</t>
  </si>
  <si>
    <t>4" 752CI 250# FLG  Y STR5/32" PF  40 ML SS SCN</t>
  </si>
  <si>
    <t>5/32" PF  60 MSH LN  SSSCN (1-1/2" SCW D Y STR)</t>
  </si>
  <si>
    <t>5/32" PF; 80ML SS SCN(2-1/2" 781/782/758)</t>
  </si>
  <si>
    <t>1/16" PF SS SCN (251 2-1/2" &amp; 3" SCWD Y STR)</t>
  </si>
  <si>
    <t>6" 185CS 150# W/5/32" PF; 40ML SS BSK</t>
  </si>
  <si>
    <t>5/32" PF; 100ML SS SCN(1/2" 581/582 Y STR)</t>
  </si>
  <si>
    <t>5/32" PF; 40ML SS SCN(1/2" 581/582 Y STR)</t>
  </si>
  <si>
    <t>5/32" PF; 20ML SS SCN(2" 251 Y STR)</t>
  </si>
  <si>
    <t>1/8" PF SS BSK (6" 155M/165/166 BSK STR)</t>
  </si>
  <si>
    <t>5/32" PF; 80ML SS BSK(4" 155M/165 BSK STR)</t>
  </si>
  <si>
    <t>5/32" PF; 100ML SS SCN(1-1/4" 251 Y-STR)</t>
  </si>
  <si>
    <t>5/32" PF; 80ML SS SCN(1/4" 861/862 Y STR)</t>
  </si>
  <si>
    <t>5/32" PF; 60ML SS SCN(4" 781/782/758 Y STR)</t>
  </si>
  <si>
    <t>5/32" PF; 60ML SS SCN(3/4" 861/862 Y STR)</t>
  </si>
  <si>
    <t>5/32" PF; 80ML  SS BSK(6" 155M/165 BSK STR)</t>
  </si>
  <si>
    <t>5/32" PF  40 MSH LN  SSSCN (3/8" SCW D Y-STR)</t>
  </si>
  <si>
    <t>3/8" 11M 250# W/5/32" PF; 40ML SS SCN</t>
  </si>
  <si>
    <t>5/32" PF; 80ML SS SCN(8" 781/782/758 Y STR)</t>
  </si>
  <si>
    <t>5/32" PF; 20ML  SS BSK(8" 155M/165 BSK STR)</t>
  </si>
  <si>
    <t>1/16" PF SS BSK (3/8" 1/2", 3/4" 125S/126S BSK</t>
  </si>
  <si>
    <t>5/32" PF; 40ML SS BSK(1/2" 125/126 BSK STR)</t>
  </si>
  <si>
    <t>5/32" PF; 80ML SS SCN(1-1/2" 861/862 Y STR)</t>
  </si>
  <si>
    <t>5/32" PF; 80ML SS SCN(10" 781/782/758)</t>
  </si>
  <si>
    <t>5/32" PF; 80ML SS SCN(3/4" THD Y STR)</t>
  </si>
  <si>
    <t>5/32" PF; 100ML SS SCN(3/4" 861/862 Y STR)</t>
  </si>
  <si>
    <t>5/32" PF; 40ML SS BSK(2-1/2" 125/126 BSK STR</t>
  </si>
  <si>
    <t>1" 781CS 150# W/5/32" PF; 40ML SS SCN</t>
  </si>
  <si>
    <t>5/32" PF; 60ML SS BSK(1" 125/126 BSK STR)</t>
  </si>
  <si>
    <t>5/32" PF; 100ML SS BSK(1-1/4" 125/126 BSK)</t>
  </si>
  <si>
    <t>4" 764CS 600# W/5/32" PF; 40ML SS SCN</t>
  </si>
  <si>
    <t>1/8" PF; 20ML SS SCN (FLG SUC DIFF)</t>
  </si>
  <si>
    <t>1/8" PF SS SCN (6" FLG DY STR</t>
  </si>
  <si>
    <t>3" 125FCI 125# FLG BSKSTR 5/32"PF 40ML SS BSK</t>
  </si>
  <si>
    <t>1/16" PF SS SCR (2" FLGY-STR)</t>
  </si>
  <si>
    <t>5/32" PF; 100ML SS SCN(6" 751/752 Y STR)</t>
  </si>
  <si>
    <t>5/32" PF; 40ML SS BSK(3" 185/186 BSK STR)</t>
  </si>
  <si>
    <t>5/32" PF; 40ML SS SCN(3/4" 351/352M/358S STR)</t>
  </si>
  <si>
    <t>2-1/2" 11M CI 250# SCWDY STR W/40 MSH LND (SIN)</t>
  </si>
  <si>
    <t>5/32" PF  40 MSH LN  SSSCN 2-1/2" SCW D Y-STR</t>
  </si>
  <si>
    <t>5/32" PF  40 MSH LN  SSSCN (2" FLG  Y-STR)</t>
  </si>
  <si>
    <t>5/32" PF; 60ML SS BSK 6"125/126 BSK STR</t>
  </si>
  <si>
    <t>5/32" PF; 40ML SS SCN(2" 861/862 Y STR)</t>
  </si>
  <si>
    <t>5/32" PF; 100ML SS SCN(3/4" 351M/352M Y STR)</t>
  </si>
  <si>
    <t>1/16" PF SS SCN (1-1/2"751/752 Y STR)</t>
  </si>
  <si>
    <t>5/32" PF; 100ML SS SCN(8" 781/782/758 Y STR)</t>
  </si>
  <si>
    <t>5/32" PF; 40 MSH LND SSSCN (12" FLG Y-STR)</t>
  </si>
  <si>
    <t>5/32" PF; 40ML SS SCN(16" 781/782)</t>
  </si>
  <si>
    <t>1/8" PF SS BSK (5" 155M/165/166 BSK STR)</t>
  </si>
  <si>
    <t>1/16" PF SS SCN (1" 761/762/781/782 Y STR)</t>
  </si>
  <si>
    <t>5/32" PF; 80ML SS SCN(1" 761/762/782/781 Y ST</t>
  </si>
  <si>
    <t>5/32" PF; 40ML SS SCN(1/2" 861/862 Y STR)</t>
  </si>
  <si>
    <t>5/32" PF; 20ML SS(3/8" 1/2",3/4" 125/126 BSK STR</t>
  </si>
  <si>
    <t>5/32" PF; 20ML SS SCN(3" 1012 SUC DIFF)</t>
  </si>
  <si>
    <t>5/32"PF 80 MSH LN SS BSK(1-1/4" SCRD BSK STR)</t>
  </si>
  <si>
    <t>2" 125FCI 125# FLG  BSKSTR 5/32" PF  40ML SS</t>
  </si>
  <si>
    <t>5/32" PF; 20ML SS SCN(4" SUC DIFF)</t>
  </si>
  <si>
    <t>2-1/2" 781 CS 150# FLG YSTR 5/32"PF 100MLSS SCN</t>
  </si>
  <si>
    <t>5/32" PF; 100ML SS SCN(10" 781/782/758 Y STR)</t>
  </si>
  <si>
    <t>5/32" PF  60 MSH LN  SSBSK (3" FLG  BASKET STR)</t>
  </si>
  <si>
    <t>5/32" PF; 40ML SS SCN (6" 751/752 Y STR)</t>
  </si>
  <si>
    <t>1/16" PF SS SCN (2" Y 863M/864M Y STR)</t>
  </si>
  <si>
    <t>1/16" PF SS SCN (2" SCWED Y STR</t>
  </si>
  <si>
    <t>1/8" PF SS BSK (6" 185/186 BSK STR)</t>
  </si>
  <si>
    <t>1-1/2" 764 CS 600# FLGY STR 5/32" PF  100 ML S</t>
  </si>
  <si>
    <t>5/32" PF; 60ML SS BSK(6" 185/186 BSK STR)</t>
  </si>
  <si>
    <t>1-1/4" 125CI 125# W/5/32" PF; 40ML SS BSK</t>
  </si>
  <si>
    <t>1-1/2" 581SS 600# THD YSTR 5/32" PF  40 ML SS</t>
  </si>
  <si>
    <t>5/32" PF; 40ML SS SCN(1-1/2" 861/862 Y STR)</t>
  </si>
  <si>
    <t>8" 758 CI 125# FLG  Y STR 5/32" PF  40 ML SS</t>
  </si>
  <si>
    <t>10" 758 125# W/5/32" PF;40ML SS SCN</t>
  </si>
  <si>
    <t>5/32" PF  40 MSH LN  SSBSK (2" FLG  BASKET STR)</t>
  </si>
  <si>
    <t>2" 185CS 150# W/5/32" PF; 40ML SS BSK</t>
  </si>
  <si>
    <t>1/8" PF SS BSK (10" 155M/165 BSK STR)</t>
  </si>
  <si>
    <t>3" 125FCS 150# W/5/32" PF; 40ML SS BSK</t>
  </si>
  <si>
    <t>5/32" PF; 20ML SS BSK 6"155M/165/166 BSK STR)</t>
  </si>
  <si>
    <t>5/32" PF; 100ML SS BSK (3/8",1/2",3/4" 125/126 B</t>
  </si>
  <si>
    <t>2" 581SS 600# W/5/32"PF; 100ML SS SCN</t>
  </si>
  <si>
    <t>3" 165 CI 125# FLG  BSKSTR 5/32" PF  40ML SS</t>
  </si>
  <si>
    <t>1/8" PF SS SCN (8" 751/752 FLG Y STR)</t>
  </si>
  <si>
    <t>3" 11M CI 250# SCWD Y STR W/ 5/32" PF  40 ML SS</t>
  </si>
  <si>
    <t>1/16" PF SS SCN (4" 751/752 FLG Y STR)</t>
  </si>
  <si>
    <t>1/16" PF SS SCN (3/4" 863M/864M Y STR)</t>
  </si>
  <si>
    <t>5/32" PF; 80ML SS BSK(6" 185/186 BSK STR)</t>
  </si>
  <si>
    <t>5/32" PF; 60ML SS SCN(1" 761/762 Y STR)</t>
  </si>
  <si>
    <t>1/8" PF SS BSK (8" 155M/165 BSK STR)</t>
  </si>
  <si>
    <t>5/32" PF; 40ML SS BSK (1-1/2" 155M/165 BSK STR)</t>
  </si>
  <si>
    <t>5/32" PF; 40ML SS BSK(4" 155M/165 BSK STR)</t>
  </si>
  <si>
    <t>1/8" PF SS SCN (10" 751/752 Y STR)</t>
  </si>
  <si>
    <t>5/32" PF; 60ML SS SCN(3/8" 11M Y STR)</t>
  </si>
  <si>
    <t>5/32" PF; 100ML SS BSK(6" 155M/165 BSK STR)</t>
  </si>
  <si>
    <t>5/32" PF; 60ML SS BSK(8" 155M/165 STR)</t>
  </si>
  <si>
    <t>5/32" PF; 100ML SS SCN(3" 751/752 Y STR)</t>
  </si>
  <si>
    <t>1/8" PF; 20ML SS SCN(12" 1011 SUC DIFF)</t>
  </si>
  <si>
    <t>1/16" PF SS SCN (3/4" 861/862 Y STR)</t>
  </si>
  <si>
    <t>5/32" PF; 40ML SS SCN(1/4" 11M Y STR)</t>
  </si>
  <si>
    <t>5/32" PF; 80ML SS BSK(2-1/2" 125/126 BSK STR)</t>
  </si>
  <si>
    <t>1" 581SS 600# W/5/32" PF; 100ML SS SCN</t>
  </si>
  <si>
    <t>5/32" PF; 80ML SS BSK(3" 125/126 BSK STR)</t>
  </si>
  <si>
    <t>5/32" PF; 20ML SS SCN(1" 751/752 Y STR)</t>
  </si>
  <si>
    <t>1/16" PF SS SCN (2-1/2"751/752 Y STR)</t>
  </si>
  <si>
    <t>5/32" PF; 60ML SS SCN(1-1/2" 581/582 Y STR)</t>
  </si>
  <si>
    <t>5/32" PF; 60ML SS BSK(3/8",1/2,3/4" BSK STR)</t>
  </si>
  <si>
    <t>5/32" PF; 100ML SS BSK(2" 155M/165 BSK STR)</t>
  </si>
  <si>
    <t>3" 782SS 300# W/ 5/32"PF; 100ML SS SCN</t>
  </si>
  <si>
    <t>1-1/2" 125SS 200 PSI WOGW/5/32" PF; 100ML SS BS</t>
  </si>
  <si>
    <t>5/32" PF; 40ML SS SCN(1-1/2" 251 Y STR)</t>
  </si>
  <si>
    <t>1/16" PF; 100ML SS BSK(1" 125/126 BSK STR)</t>
  </si>
  <si>
    <t>1-1/4" 581CS 600# W/5/32" PF; 40ML SS SCN</t>
  </si>
  <si>
    <t>4" 165 CI 125# W/5/32"PF; 40ML SS BSK</t>
  </si>
  <si>
    <t>1-1/2" 582SS 600# W/5/32" PF; 100ML SS SCN</t>
  </si>
  <si>
    <t>1-1/2" 125FCS 150# W/5/32" PF; 40ML SS SCN</t>
  </si>
  <si>
    <t>1/8" PF; 20ML SS SCN (8"1011/1011G SUC DIFF)</t>
  </si>
  <si>
    <t>5/32" PF; 40ML SS BSK(8" 155M/165 BSK STR)</t>
  </si>
  <si>
    <t>5/32" PF; 80ML SS BSK(2-1/2" 155M/165 BSK STR</t>
  </si>
  <si>
    <t>8" 782CS 300# W/5/32" PF; 100ML SS SCN</t>
  </si>
  <si>
    <t>5/32" PF; 40ML SS SCN(1/2" 11M Y STR)</t>
  </si>
  <si>
    <t>3/4" 582CS 600# W/5/32"PF; 40ML SS SCN</t>
  </si>
  <si>
    <t>1/16" PF SS SCN(1" 251 YSTR)</t>
  </si>
  <si>
    <t>1" 125FSS 150# FLG  BSKSTR 5/32" PF  40ML SS</t>
  </si>
  <si>
    <t>3/4" 582 SS 600# SW Y STR W/5/32" PF; 40ML SS BS</t>
  </si>
  <si>
    <t>5/32" PF; 40ML SS BSK(8" 125/126 BSK STR)</t>
  </si>
  <si>
    <t>5/32" PF  20 MSH LN  SSBSK (1-1/4" BASKET STR)</t>
  </si>
  <si>
    <t>5/32" PF; 60ML SS BSK(4" 155M/165 BSK STR)</t>
  </si>
  <si>
    <t>20 MSH SS SCN (2" Y STRAIN ER)</t>
  </si>
  <si>
    <t>5/32" PF; 40ML SS SCN (2-1/2" 781/782/758 Y STR)</t>
  </si>
  <si>
    <t>2-1/2" 781 CS 150# FLGY STR 5/32" PF  40ML SS</t>
  </si>
  <si>
    <t>1-1/2" 781 CS 150# FLGY  STR 5/32" PF  40ML SS</t>
  </si>
  <si>
    <t>5/32" PF; 100ML SS SCN(1-1/2" 251 Y STR)</t>
  </si>
  <si>
    <t>1-1/2" 251DI 300# DI SCRD Y STR (SIN)</t>
  </si>
  <si>
    <t>5/32" PF; 60ML SS BSKT (4" 125/126F BSK STR)</t>
  </si>
  <si>
    <t>5/32" PF;80ML SS BSK (3/8",1/2",3/4" 125/126 BSK</t>
  </si>
  <si>
    <t>1" 781SS 150# W/5/32" PF; 40ML SS SCN</t>
  </si>
  <si>
    <t>1/16" PF SS BSK (2" 155M/165 BSK STR)</t>
  </si>
  <si>
    <t>6" 165 CI 125# FLG  BSKSTR 5/32" PF  40ML SS</t>
  </si>
  <si>
    <t>1/16" PF SS SCN (3/4" 761/762/781/782 Y STR)</t>
  </si>
  <si>
    <t>6" 782WE CS 300# WE Y STR 5/32" PF  40ML SS</t>
  </si>
  <si>
    <t>5/32" PF  100 MSH LN  SSSCN (8" FLGD Y STR)</t>
  </si>
  <si>
    <t>8" 752CI 250# FLG  Y STR5/32" PF  100ML SS</t>
  </si>
  <si>
    <t>5/32" PF; 20ML SS BSK(10" 155M/165 BSK STR)</t>
  </si>
  <si>
    <t>8" 186CS 300# W/5/32" PF; 40ML SS</t>
  </si>
  <si>
    <t>5/32" PF; 20ML SS SCN(1-1/2" 751/752 Y STR)</t>
  </si>
  <si>
    <t>1" 125CS 200 PSI W/5/32"PF; 100ML SS BSK</t>
  </si>
  <si>
    <t>5/32" PF; 100ML SS SCN(3" 351M/352M Y STR)</t>
  </si>
  <si>
    <t>5/32" PF; 60ML SS SCN(1-1/4" 581/582 Y STR)</t>
  </si>
  <si>
    <t>1/4" 11M 250# W/5/32" PF; 40ML SS SCN</t>
  </si>
  <si>
    <t>5/32" PF; 40ML SS BSK(4" 125/126 BSK STR)</t>
  </si>
  <si>
    <t>4" 125FCI 125# W/5/32" PF; 40ML SS BSK</t>
  </si>
  <si>
    <t>5/32" PF; 20ML SS SCN(6" 1011)</t>
  </si>
  <si>
    <t>5/32" PF; 60ML SS SCN(8" 781/782/758 Y STR)</t>
  </si>
  <si>
    <t>4" 186-CS 300# FLG  BSKSTR 5/32" PF  40ML SS</t>
  </si>
  <si>
    <t>1/2" 125CI 125# W/5/32"PF; 40ML SS BSK</t>
  </si>
  <si>
    <t>5/32" PF; 60ML SS SCN (1" 861/862 Y STR)</t>
  </si>
  <si>
    <t>5/32" PF; 80ML SS SCN(1-1/2" SCRD Y STR)</t>
  </si>
  <si>
    <t>5/32" PF; 100ML SS BSK(4" 125/126 BSK STR)</t>
  </si>
  <si>
    <t>5/32" PF; 100ML SS SCN(1/2" 761/762 Y STR)</t>
  </si>
  <si>
    <t>1/8" PF SS SCN (20" 751/752 Y STR)</t>
  </si>
  <si>
    <t>4" 782CSWE 300# W/5/32"PF; 100ML SS SCN</t>
  </si>
  <si>
    <t>2-1/2" 758 125# W/5/32"PF; 40ML SS SCN</t>
  </si>
  <si>
    <t>1/8" PF SS SCN (12" 751/752 Y STR)</t>
  </si>
  <si>
    <t>4" 782CS 300# W/5/32" PF; 40ML SS SCN</t>
  </si>
  <si>
    <t>5/32" PF; 40ML SS SCN(14" 781/782/758)</t>
  </si>
  <si>
    <t>5/32" PF; 20ML SS SCN(4" 751/752 Y STR)</t>
  </si>
  <si>
    <t>1/16" PF SS SCN(1" 863M/864M Y STR)</t>
  </si>
  <si>
    <t>1/8" PF SS BSK (10" 125/126 BSK STR)</t>
  </si>
  <si>
    <t>5/32" PF; 100ML SS BSK(2-1/2" 125/126 BSK STR)</t>
  </si>
  <si>
    <t>5/32" PF; 60ML SS SCN (1-1/2" 761/762/781/782 Y</t>
  </si>
  <si>
    <t>5/32" PF; 20ML SS SCN(6" 751/752 Y STR)</t>
  </si>
  <si>
    <t>2" 125FCS 150# W/5/32"PF; 100ML SS BSK</t>
  </si>
  <si>
    <t>3" 125FCI 125# FLG  BSKSTR 5/32" PF  100ML SS</t>
  </si>
  <si>
    <t>2" 125FSS 150# W/5/32"PF; 100ML SS BSK</t>
  </si>
  <si>
    <t>1/8" PF SS BSK (8" 125/126 BSK STR)</t>
  </si>
  <si>
    <t>1-1/2" 781 SS 150# FLGY  STR 5/32" PF  100ML S</t>
  </si>
  <si>
    <t>5/32" PF; 60ML SS SCN(1-1/4" 351M/352M/353.5M</t>
  </si>
  <si>
    <t>5/32" PF; 100ML SS SCN(12" 781/782/758 Y STR)</t>
  </si>
  <si>
    <t>4" 782 CS 300# FLG  Y STR 5/32" PF 100ML SS</t>
  </si>
  <si>
    <t>8" 165 CI 125# FLG  BSKSTR 5/32" PF 40ML SS</t>
  </si>
  <si>
    <t>2" 165 CI 125# FLG  BSKSTR 5/32" PF  40ML SS</t>
  </si>
  <si>
    <t>3" 764 CS 600# FLG  Y STR 5/32" PF  100ML SS</t>
  </si>
  <si>
    <t>3" 752CI 250# FLG  Y STR5/32" PF  100ML SS</t>
  </si>
  <si>
    <t>6" 752CI 250# FLG  Y STR5/32" PF  100ML SS</t>
  </si>
  <si>
    <t>5/32" PF; 20ML SS SCN (5" 1011 SUCT DIFF)</t>
  </si>
  <si>
    <t>1/16" PF SS SCN (1/2" 863M/864M Y STR)</t>
  </si>
  <si>
    <t>3/8" 581 SS 600# THD Y STR 5/32" PF 40ML SS</t>
  </si>
  <si>
    <t>5/32" PF; 40ML SS BSK(6" 125/126 BSK STR)</t>
  </si>
  <si>
    <t>5/32" PF; 80ML SS SCR (3/4" SW Y-STR)</t>
  </si>
  <si>
    <t>6" 764 CS 600# FLG  Y STR 5/32" PF 100ML SS</t>
  </si>
  <si>
    <t>5/32" PF; 60ML SS SCN(2-1/2" 351M/352M Y STR)</t>
  </si>
  <si>
    <t>1/8" PF SS SCN (5" 751/752 Y STR)</t>
  </si>
  <si>
    <t>10" 758 CI 125# FLG  Y STR 5/32" PF 100 ML SS</t>
  </si>
  <si>
    <t>5/32" PF; 20ML SS SCN(12" 781/782/758 Y STR)</t>
  </si>
  <si>
    <t>5/32" PF; 100ML SS BSK(10" 125/126)</t>
  </si>
  <si>
    <t>10"X10" 1011G DI SUC DIFFW/150# FLGD OUTL&amp;GRV IN</t>
  </si>
  <si>
    <t>1/16" PF SS SCN(1/2" 861/862 Y STR)</t>
  </si>
  <si>
    <t>3" 781 SS 150# FLG  Y STR 5/32" PF 40 ML SS</t>
  </si>
  <si>
    <t>1" 782CS 300# W/5/32" PF; 40ML SS SCN</t>
  </si>
  <si>
    <t>2-1/2" 758 CI 125# FLGY STR 5/32" PF  100ML SS</t>
  </si>
  <si>
    <t>5/32" PF; 100ML SS BSK(8" 155M/165 BSK STR)</t>
  </si>
  <si>
    <t>5/32" PF; 40ML SS SCN(12" 781/782/758 Y STR)</t>
  </si>
  <si>
    <t>1-1/2" 782 CS 300# FLGEDY STR 5/32" PF  40ML SS</t>
  </si>
  <si>
    <t>5/32" PF  80 MSH LN  SSSCN (1-1/4" SCRD Y STR)</t>
  </si>
  <si>
    <t>5/32" PF; 20ML SS SCN (1-1/2" 781/782/761/761 Y</t>
  </si>
  <si>
    <t>1-1/2" 781SS 150# W/5/32" PF; 40ML SS SCN</t>
  </si>
  <si>
    <t>1/16" PF SS BSK (2-1/2"155M/165 BSK STR)</t>
  </si>
  <si>
    <t>5/32" PF; 100ML SS SCN(3/4" 761/762/781/782)</t>
  </si>
  <si>
    <t>3/4" 781CS 150# W/5/32"PF; 100ML SS SCN</t>
  </si>
  <si>
    <t>5/32" PF; 80ML SS BSK(6" 125/126 BSK STR)</t>
  </si>
  <si>
    <t>5/32" PF; 100ML SS SCN(2-1/2" 351M/352M/353.5M</t>
  </si>
  <si>
    <t>5/32" PF; 80ML SS SCN(12" 781/782/758 Y STR)</t>
  </si>
  <si>
    <t>5/32" PF  100 MSH LN  SSSCN (4" SCRD Y STR</t>
  </si>
  <si>
    <t>4" 11BC CI 250# SCRD Y STR W/BLTD CVR 5/32"(SIN)</t>
  </si>
  <si>
    <t>5/32" PF; 20ML SS SCN(5" 781/758 Y STR)</t>
  </si>
  <si>
    <t>5/32" PF  40 MSH LN  SSBSK (12" BASKET STR)</t>
  </si>
  <si>
    <t>1/4" 581SS 600# THD Y STR 5/32" PF 40ML SS</t>
  </si>
  <si>
    <t>5/32" PF; 80ML SS BSK(4" 125/126 BSK STR)</t>
  </si>
  <si>
    <t>5/32" PF; 40ML SS SCN(3/4" 761/762/781/782 Y</t>
  </si>
  <si>
    <t>3/4" 781CS 150# W/5/32"PF; 40ML SS SCN</t>
  </si>
  <si>
    <t>1-1/2" 782 CS 300# FLGDYSTR/5/32"PF 100MLSS SCN</t>
  </si>
  <si>
    <t>3/4" 781SS 150# W/5/32"PF; 40ML SS SCN</t>
  </si>
  <si>
    <t>1" 582 SS 600# SKT WELDY STR W/ 5/32" PF  40 ML</t>
  </si>
  <si>
    <t>5/32" PF; 40ML SS SCN(3" 351/352 Y STR)</t>
  </si>
  <si>
    <t>1" 125SS 200 PSI WOG SCWD BSK STR 5/32"PF 40MLSS</t>
  </si>
  <si>
    <t>1" 781SS 150# W/5/32" PF; 100ML SS SCN</t>
  </si>
  <si>
    <t>5/32" PF; 80ML SS BSK(155M/165 BSK STR)</t>
  </si>
  <si>
    <t>5/32" PF; 40ML SS SCN 3"752 Y- STR)</t>
  </si>
  <si>
    <t>2" 782CSWE 300# W/5/32"PF; 100ML SS SCN</t>
  </si>
  <si>
    <t>5/32" PF; 60ML SS BSK(8" 125/126 BSK STR)</t>
  </si>
  <si>
    <t>5/32" PF; 20ML SS SCN(16" 751/752 Y STR)</t>
  </si>
  <si>
    <t>5/32" PF; 80ML SS SCN (2" 861/862 Y STR)</t>
  </si>
  <si>
    <t>5/32" PF; 40ML SS SCN (3/4" 861/862 Y STR)</t>
  </si>
  <si>
    <t>1/16" PF SS SCN (1-1/2"863M/864M Y STR)</t>
  </si>
  <si>
    <t>5/32" PF; 60ML SS SCN (10" 781/782/758 Y STR)</t>
  </si>
  <si>
    <t>6" 782CS 300# W/5/32" PF; 40ML SS SC</t>
  </si>
  <si>
    <t>20 MSH .015 304SS SCN FOR 1-1/4" 11M (SIN)</t>
  </si>
  <si>
    <t>20 MSH .015 7/8" X1-13/32" SCN 304SS(3/4" 351M</t>
  </si>
  <si>
    <t>20 MSH .015 304SS SCN FOR 1" 11M (SIN)</t>
  </si>
  <si>
    <t>1/4" 581 CS 600# SCWD YSTR 5/32"PF 100ML SS SCN</t>
  </si>
  <si>
    <t>1" 782CS 300# W/5/32" PF; 100ML SS SCN</t>
  </si>
  <si>
    <t>5/32" PF; 80ML SS SCN (1/2" 861/862 Y STR)</t>
  </si>
  <si>
    <t>1/8" PF  40 MSH LN  SS BSK</t>
  </si>
  <si>
    <t>5/32" PF; 60ML SS BSK(1/2" 125/126 BSK STR)</t>
  </si>
  <si>
    <t>1/16" PF SS BSK (2-1/2"125/126 BSK STR)</t>
  </si>
  <si>
    <t>20 MSH .015 304SS (1" 351M/352M/352M) 1" X 2"</t>
  </si>
  <si>
    <t>20 MSH SS SCR 1-1/2" 351M/352M</t>
  </si>
  <si>
    <t>20 MSH 304SS SCN (1-1/2"11M Y STR)</t>
  </si>
  <si>
    <t>5/32" PF; 20ML SS BSK (5" 125/126 BSK STR)</t>
  </si>
  <si>
    <t>1/4" 581SS 600# THD Y STR</t>
  </si>
  <si>
    <t>5/32" PF  60 MSH LN  SSSCN 3" FLG  Y STR</t>
  </si>
  <si>
    <t>5/32" PF; 40ML SS SCN (1/4",3/8",1/2" 351M/352M/</t>
  </si>
  <si>
    <t>5/32" PF; 60ML SS BSK (2" 155M/165 BSK STR)</t>
  </si>
  <si>
    <t>1/8" PF SS SCN 14" FLGY STR</t>
  </si>
  <si>
    <t>2" 781 SS 150# FLG  Y STR W/ 5/32" PF  100ML SS</t>
  </si>
  <si>
    <t>5/32" PF; 40ML SS BSK(2-1/2" 155M/165 BSK STR</t>
  </si>
  <si>
    <t>3" 781 SS 150# FLG  Y STR W/5/32" PF  100ML SS S</t>
  </si>
  <si>
    <t>20 MSH .015 304SS SCN (1/4",3/8",1/2" 351M/352M/</t>
  </si>
  <si>
    <t>20 MSH .015 304SS SCN FOR 1-1/4" 351M/352M (SIN)</t>
  </si>
  <si>
    <t>5/32" PF; 100ML MNL SCN(1/4",3/8",1/2" 351M/352</t>
  </si>
  <si>
    <t>3" 781 CS 150# FLG YSTRW/5/32"PF 40ML 316SS SCN</t>
  </si>
  <si>
    <t>5/32" PF  20 MSH LN  SSSCN 2-1/2" FLG  Y STR</t>
  </si>
  <si>
    <t>6" 782CS 300# W/5/32" PF; 100ML SS SCN</t>
  </si>
  <si>
    <t>1-1/4" 582 CS 600# SW YSTR W/5/32"PF 100MLSS SCN</t>
  </si>
  <si>
    <t>3" 186-CS 300# FLG  BSKSTR W/5/32"PF 40MLSS BSK</t>
  </si>
  <si>
    <t>2" 125FCS 150# W/5/32" PF; 40ML SS BSK</t>
  </si>
  <si>
    <t>1" 125CS 200 PSI W/5/32"PF; 40ML SS BSK</t>
  </si>
  <si>
    <t>4" 781SS 150# W/5/32" PF; 40ML SS SCN</t>
  </si>
  <si>
    <t>5/32" PF 40ML SS (251 2.5" &amp; 3" SCWD STR)</t>
  </si>
  <si>
    <t>3" 782WE CS 300# WE YSTRW/5/32"PF 100MLSS SCN</t>
  </si>
  <si>
    <t>2" 125FSS 150# W/5/32" PF; 40ML SS BSK</t>
  </si>
  <si>
    <t>1" 125FSS 150# FLG Y STRW/5/32"PF 100ML SS BSK</t>
  </si>
  <si>
    <t>1" 764CS 600# W/5/32" PF; 40ML SS SCN</t>
  </si>
  <si>
    <t>1/8" PF SS SCN (16" 751/752 Y-STR)</t>
  </si>
  <si>
    <t>5/32" PF; 80ML SS BSK(8" 155M/165 BSK STR)</t>
  </si>
  <si>
    <t>5/32" PF; 20ML SS SCN(24" 781/782/758 Y STR)</t>
  </si>
  <si>
    <t>1-1/4" 125SS 200 PSI W/5/32" PF; 100ML SS BSK</t>
  </si>
  <si>
    <t>1/8" PF SS BSK (14" 155M/165 BSK STR)</t>
  </si>
  <si>
    <t>12" 165 CI 125# FLG BSKTSTR W/ 5/32" PF  40ML SS</t>
  </si>
  <si>
    <t>5/32" PF; 100ML SS SCN(1-1/2" 751/752 Y STR)</t>
  </si>
  <si>
    <t>1/16" PF SS SCN (1-1/4"251 Y STR)</t>
  </si>
  <si>
    <t>1-1/2" 185CS 150# W/5/32" PF; 40ML SS BSK</t>
  </si>
  <si>
    <t>5/32" PF; 60ML SS SCN (2-1/2" &amp; 3" 251 Y STR)</t>
  </si>
  <si>
    <t>5/32" PF  80 MSH LN  SSSCN (1-1/4" FLG Y STR)</t>
  </si>
  <si>
    <t>1/16" PF SS SCN (1/4,3/8,1/2 761/762/782/781)</t>
  </si>
  <si>
    <t>10" 185CS 150# FLG BSKTW/ 5/32" PF  40ML SS BSK</t>
  </si>
  <si>
    <t>5/32" PF  20 MSH LN  SSSCN FOR 2" SUC DIFF</t>
  </si>
  <si>
    <t>5/32" PF; 20 MSH LND SSSCN (2-1/2" SUC DIFF)</t>
  </si>
  <si>
    <t>1/16" PF SS SCN (1" 751/752 Y STR)</t>
  </si>
  <si>
    <t>1-1/2" 781CS 150# W/5/32" PF; 100ML SS SCN</t>
  </si>
  <si>
    <t>1/16" PF SS SCN (1-1/2"SCRD Y STR</t>
  </si>
  <si>
    <t>2-1/2" 251DI 300# DI SCRD YSTR W/5/32"PF 40ML SS</t>
  </si>
  <si>
    <t>3/4" 782SS 300# W/5/32"PF; 40ML SS SCN</t>
  </si>
  <si>
    <t>2-1/2" 781SS 150# FLG YSTR W/5/32"PF 40MLSS SCN</t>
  </si>
  <si>
    <t>4" 185CS 150# W/5/32" PF; 100ML SS BSK</t>
  </si>
  <si>
    <t>1-1/2" 125CS 200 PSI WOGW/5/32" PF; 100ML SS</t>
  </si>
  <si>
    <t>5/32" PF; 20ML SS BSK(10" 125/126 BSK STR)</t>
  </si>
  <si>
    <t>5/32" PF  40 MSH LN  SSSCN (2-1/2" SCRD Y STR</t>
  </si>
  <si>
    <t>8" 758CI 100ML SS,5/32"PF (SIN)</t>
  </si>
  <si>
    <t>1/8" PF SS BSK (12" FLGBASKET STR</t>
  </si>
  <si>
    <t>5/32" PF; 80ML SS BSK(10" 155M/165 BSK STR)</t>
  </si>
  <si>
    <t>2" 185CS 150# FLG BSK STR W/5/32"PF 100MLSS BSK</t>
  </si>
  <si>
    <t>4" 125FSS 150# W/5/32" PF; 100ML SS BSK</t>
  </si>
  <si>
    <t>3/4" 125CI 125# W/5/32"PF; 100ML SS BSK</t>
  </si>
  <si>
    <t>5/32" PF; 40ML SS SCN(1/2" 761/762/781/782)</t>
  </si>
  <si>
    <t>1/16" PF SS BSK (2-1/2"185/186 BSK STR)</t>
  </si>
  <si>
    <t>5/32" PF; 80ML SS SCN(3/4" 351M/352M/353.5M)</t>
  </si>
  <si>
    <t>5/32" PF; 60ML SS SCN(2" 861/862 Y STR)</t>
  </si>
  <si>
    <t>5/32" PF; 40ML SS SCN(1-1/4" 861/862 Y STR)</t>
  </si>
  <si>
    <t>5/32" PF; 20ML SS BSK(2-1/2" 125/126 BSK STR)</t>
  </si>
  <si>
    <t>5/32" PF; 80ML SS BSK(3"185/186 BSK STR)</t>
  </si>
  <si>
    <t>5/32" PF; 60ML SS BSK (2-1/2" 155M/165 BSK STR)</t>
  </si>
  <si>
    <t>5/32" PF  40 MSH LN  SSSCN (1" FLG Y STR</t>
  </si>
  <si>
    <t>5/32" PF; 80 MSH LND SSSCN (5" FLG Y STR)</t>
  </si>
  <si>
    <t>5/32" PF; 40ML SS SCN(5" 781/758 Y STR)</t>
  </si>
  <si>
    <t>5/32" PF  40 MSH LN  SSSCN (10" FLG Y STR</t>
  </si>
  <si>
    <t>1/8" PF SS SCN (18" FLGY STR</t>
  </si>
  <si>
    <t>5/32" PF; 60ML SS SCN(4" 781/782/758)</t>
  </si>
  <si>
    <t>5/32" PF; 60ML SS BSK(2-1/2" 125/126 BSK STR)</t>
  </si>
  <si>
    <t>5/32" PF; 80ML SS BSK(2" 155M/165 BSK STR)</t>
  </si>
  <si>
    <t>12" 185CS 150# FLG BSK STR W/5/32"PF 40MLSS BSK</t>
  </si>
  <si>
    <t>1/16" PF SS BSK (2" 185/186 BSK STR)</t>
  </si>
  <si>
    <t>5/32" PF; 100ML SS BSK(2" 185/186 BSK STR)</t>
  </si>
  <si>
    <t>1/16" PF SS SCN (1/4" &amp;3/8" 861/862 Y STR)</t>
  </si>
  <si>
    <t>8" 125FCS 150# W/1/8" PF; 1/8" PF; 100ML SS BSK</t>
  </si>
  <si>
    <t>5/32" PF; 20ML 316SS (6"125/126 BSK STR)</t>
  </si>
  <si>
    <t>1/8" PF SS BSK (10" 185/186 BSK STR)</t>
  </si>
  <si>
    <t>5/32" PF; 20ML SS SCN(5" 751/752 Y STR)</t>
  </si>
  <si>
    <t>5/32" PF  60ML SS SCN (4" SCR Y-STR W/BC)</t>
  </si>
  <si>
    <t>3" 782SSWE 300# WE Y-STRW/5/32"PF 40ML SS SCN</t>
  </si>
  <si>
    <t>1/8" PF SS BSKT (5" FLGBSKT STR)</t>
  </si>
  <si>
    <t>4" 185SS 150# FLG BSK STR W/5/32"PF 100MLSS BSK</t>
  </si>
  <si>
    <t>5/32" PF; 20ML 316SS SCN(10" 781/782/758 Y STR)</t>
  </si>
  <si>
    <t>5/32" PF; 100ML SS BSK(8" 125/126 BSK STR)</t>
  </si>
  <si>
    <t>6" 125FCS 150# FLG BSKSTR W/5/32"PF;100MLSS BSK</t>
  </si>
  <si>
    <t>2" 782SS 300# FLG Y STRW/5/32" PF  100ML SS SCN</t>
  </si>
  <si>
    <t>1/16" PF SS BSK (1-1/2"185/186 BSK STR)</t>
  </si>
  <si>
    <t>6" 764CS 600# FLG Y STRW/ 5/32" PF  40ML SS SCN</t>
  </si>
  <si>
    <t>5/32" PF  100 MSH LN  SSSCN (4" FLG Y STR</t>
  </si>
  <si>
    <t>4" 752 CI 250# FLG YSTRW/5/32"PF 100ML SS SCN</t>
  </si>
  <si>
    <t>5/32" PF; 40ML SS (1-1/2" 751/752/758 Y STR)</t>
  </si>
  <si>
    <t>2  88IHH61 DI/316S/316D/EPM  /10 POS HDL BFV E</t>
  </si>
  <si>
    <t>BUTTERFLY- MUELLER</t>
  </si>
  <si>
    <t>2.5  88IHH61 DI/316S/316D/ EPM 10 POS HDL BFV E</t>
  </si>
  <si>
    <t>3  88IHH61 DI/316S/316D/EPM 10 POS HDL BFV E</t>
  </si>
  <si>
    <t>4  88IHH61 DI/316S/316D/ EPM 10 POS HDL BFV E</t>
  </si>
  <si>
    <t>5.0  88IHH61 DI/316S/316D/ EPM 10 POS HDL BFV E</t>
  </si>
  <si>
    <t>6  88IHH61 DI/316S/316D/EPM 10 POS HDL BFV</t>
  </si>
  <si>
    <t>8  88IHH61 DI/316SS/316SS/EPM W/10 POS HDL B</t>
  </si>
  <si>
    <t>10" 88IHH61 DI/316S/316D/ EPM /10 POS HDL BFV E</t>
  </si>
  <si>
    <t>8  88IHH65 DI/316SS316SS/EPM W/GO BFV</t>
  </si>
  <si>
    <t>10  88IHH65 DI/316S/316D/ EPM /W/ GO BFV</t>
  </si>
  <si>
    <t>14  88IPH65 DI 431S/316D/ EPM  SEAT, GO BFV</t>
  </si>
  <si>
    <t>16  88IPH65 DI 431S/316D/ EPM  SEAT, GO BFV</t>
  </si>
  <si>
    <t>18  88IPH65 DI 431S/316D/ EPM  SEAT, GO BFV</t>
  </si>
  <si>
    <t>20  88IPH65 DI 431S/316D/ EPM  SEAT, GO BFV</t>
  </si>
  <si>
    <t>24  88IPH65 DI 431S/316D/ EPM  SEAT, GO BFV</t>
  </si>
  <si>
    <t>30  88IPH65 DI 431S/316D/ EPM  SEAT, GO BFV</t>
  </si>
  <si>
    <t>5/32" PF; 40ML SS BSK(2" 185/186 BSK STR)</t>
  </si>
  <si>
    <t>5/32" PF; 80ML SS BSK STR (2" 185/186 BSK STR)</t>
  </si>
  <si>
    <t>5/32" PF; 60ML SS SCN(2" 251 Y-STR)</t>
  </si>
  <si>
    <t>12  88IHH65 DI/316S/316D/ EPM /W/ GO BFV</t>
  </si>
  <si>
    <t>1" 758CI 40ML SS,5/32" PF (SIN)</t>
  </si>
  <si>
    <t>1-1/2" 758CI 40ML SS,5/32" PF (SIN)</t>
  </si>
  <si>
    <t>5/32" PF; 60ML 316SS BSK(8" 185/186 BSK STR)</t>
  </si>
  <si>
    <t>6" 186CS 300# FLG BSKSTRW/5/32"PF 40 ML SS BSK</t>
  </si>
  <si>
    <t>14" 722G DI 300# GRV  END CTRL CV</t>
  </si>
  <si>
    <t>2" 782SS 300# W/5/32" PF; 40ML SS SCN</t>
  </si>
  <si>
    <t>5/32" PF; 80ML SS BSK(8" 185/186 BSK STR)</t>
  </si>
  <si>
    <t>1/16" PF SS BSK (4" FLGBSKT STR</t>
  </si>
  <si>
    <t>5/32" PF; 60ML SS SCN(12" 781/782/758 Y STR)</t>
  </si>
  <si>
    <t>5/32" PF  80 MSH LN  SSSCN (4" SCR Y-STR W/BC)</t>
  </si>
  <si>
    <t>1/8" PF SS BSK (5" 125/126 BSK STR)</t>
  </si>
  <si>
    <t>5/32" PF; 100ML SS BSK(3" 155M/165 BSK STR)</t>
  </si>
  <si>
    <t>4" 125FCI 125# W/5/32" PF; 100ML SS BSK</t>
  </si>
  <si>
    <t>2" 752CI 250# W/5/32" PF; 40ML SS SCN</t>
  </si>
  <si>
    <t>5/32" PF; 100ML SS SCN(2-1/2" 751/752 Y STR)</t>
  </si>
  <si>
    <t>2-1/2" 752CI 250# W/5/32" PF; 100ML SS SCN</t>
  </si>
  <si>
    <t>5/32" PF  60 MSH LN  SSSCN FOR 1-1/2"FLGD Y STR</t>
  </si>
  <si>
    <t>5/32" PF  20 MSH LN  SSSCN (2" FLG Y STR</t>
  </si>
  <si>
    <t>3/8" 581CS 600# W/5/32"PF; 40ML SS SCN</t>
  </si>
  <si>
    <t>1/2" 781CS 150# W/5/32"PF; 40ML SS SCN</t>
  </si>
  <si>
    <t>6" 781SS 150#  W/5/32"PF; 40ML SS SCN</t>
  </si>
  <si>
    <t>5/32" PF; 60ML 316SS SCN(3/8" &amp; 1/2" 581/582 Y S</t>
  </si>
  <si>
    <t>1/8" PF SS SCN (24" FLGY- STR</t>
  </si>
  <si>
    <t>5/32" PF  80 MSH LN  SSSCN (1" FLG Y STR</t>
  </si>
  <si>
    <t>1-1/4" 781SS 150# FLG YSTR,5/32"PF 40ML SS SCN</t>
  </si>
  <si>
    <t>3" 186CS 300# FLG BSK STR W/5/32"PF 100ML SS BSK</t>
  </si>
  <si>
    <t>5/32" PF  60 MSH LN  SSSCN 2-1/2" FLG  Y STR</t>
  </si>
  <si>
    <t>5/32" PF; 60ML SS SCN(4" 751/752 Y STR)</t>
  </si>
  <si>
    <t>5/32" PF  80 MSH LN  SSSCN (2" SCRD Y STR</t>
  </si>
  <si>
    <t>1-1/2" 781SSWE 150# WE YSTR 5/32"PF 40ML SS SCN</t>
  </si>
  <si>
    <t>16" 722 DI 300# FLG  TRIPLE FCTN CTRL CV</t>
  </si>
  <si>
    <t>3/8" 581SS 600# W/5/32"PF; 100ML SS SCN</t>
  </si>
  <si>
    <t>1/2" 781CS 150# W/5/32"PF; 100ML SS SCN</t>
  </si>
  <si>
    <t>5/32" PF; 80ML SS SCN(1-1/2" 751/752/758)</t>
  </si>
  <si>
    <t>6  88IHH65 DI/316S/316D/EPM   W/ GO BFV</t>
  </si>
  <si>
    <t>1-1/2" 125CS 200 PSI WOGW/5/32" PF; 40ML SS</t>
  </si>
  <si>
    <t>5/32" PF; 80ML SS BSK(8" 125/126 BSK STR)</t>
  </si>
  <si>
    <t>1/8" PF; 40ML SS SCN (8"781/782/758 Y STR)</t>
  </si>
  <si>
    <t>5/32" PF; 40ML SS SCN(1" 251 Y-STR)</t>
  </si>
  <si>
    <t>5/32" PF; 80ML SS SCN(3" 351M/352M Y STR)</t>
  </si>
  <si>
    <t>3" 155M 125# W/5/32" PF;100ML SS BSK</t>
  </si>
  <si>
    <t>5" 782CS 300# W/5/32" PF; 40ML SS SCN</t>
  </si>
  <si>
    <t>2-1/2" 782CS 300# FLG YSTR W/5/32"PF 40MLSS SCN</t>
  </si>
  <si>
    <t>5/32" PF; 60ML SS BSK(2" 185/186 BSK STR)</t>
  </si>
  <si>
    <t>26-15/16" X 26-3/8" X 25-3/8" X 1/8" 316L (SIN)</t>
  </si>
  <si>
    <t>1/16" PF SS SCN FOR 1/2"SCW D Y STR</t>
  </si>
  <si>
    <t>6" 125FCI 125# FLG BSK STR W/5/32"PF;40 MLSS BSK</t>
  </si>
  <si>
    <t>6" 781SS 150# W/5/32" PF; 100ML SS SCN</t>
  </si>
  <si>
    <t>4"782SS 300#SS FLG Y STRW/5/32"PF; 40ML SS SCN</t>
  </si>
  <si>
    <t>6" 186CS 300# FLG BSK STR W/5/32"PF 100 ML 316SS</t>
  </si>
  <si>
    <t>8" 782 CS 300# FLG Y STRW/5/32" PF  40ML SS SCN</t>
  </si>
  <si>
    <t>1" 125FCS 150# W/5/32" PF; 40ML SS BSK</t>
  </si>
  <si>
    <t>1/8" PF; 40ML SS SCN(3/4" 581/582 Y STR)</t>
  </si>
  <si>
    <t>5/32" PF; 60ML SS SCN (1" 752/751 Y STR)</t>
  </si>
  <si>
    <t>2" 758CI 100ML 316SS,5/32" PF (SIN)</t>
  </si>
  <si>
    <t>10" 781SS 150# FLG Y STRW/5/32"PF;100ML MNL SCN</t>
  </si>
  <si>
    <t>5/32" PF; 100ML SS SCN (1" 251 Y-STR)</t>
  </si>
  <si>
    <t>1" 251DI 300# W/5/32" PF; 100ML SS SCN</t>
  </si>
  <si>
    <t>3" 781CSWE 150# WE Y STRW/5/32" PF; 40 MSH LND S</t>
  </si>
  <si>
    <t>8" 781CSWE 150# W/5/32"PF; 40ML SS SCN</t>
  </si>
  <si>
    <t>10" 781CSWE 150# WE YSTR5/32"PF;40MSHLN SS SCN</t>
  </si>
  <si>
    <t>2" 752CI 250# FLG Y STRW/5/32"PF;100MSH LND SCN</t>
  </si>
  <si>
    <t>TFE ENCP W/VTN &amp; KLRZ SFT ORG KIT (2-1/2" &amp; 3")</t>
  </si>
  <si>
    <t>3/4" 125FSS 150# W/5/32"PF; 40ML SS BSK</t>
  </si>
  <si>
    <t>5/32" PF; 80MSH LND  SSSCN (4" FLG  Y STR)</t>
  </si>
  <si>
    <t>5/32" PF; 80ML SS SCN(3" 751/752 Y STR)</t>
  </si>
  <si>
    <t>7/8"X 1-1/4"X 1/32" CSTNGD GPHL GSKT (SIN)</t>
  </si>
  <si>
    <t>1-1/16" X 1-7/16" X 1/8"316LSS &amp; FLXCB SP (SIN)</t>
  </si>
  <si>
    <t>#2-137 ORG  BN N (1/4"-3/4" 125 CVR</t>
  </si>
  <si>
    <t>#2-026 ORG  BN N (1/4"3/4" 125 BSK</t>
  </si>
  <si>
    <t>3/8" SLD SQ HD PLG STL</t>
  </si>
  <si>
    <t>3/8" - 1-1/2" 125 KNOB DI</t>
  </si>
  <si>
    <t>#2-137 ORG VTN (1/4" - 3/4" #125 CVR</t>
  </si>
  <si>
    <t>#2-026 ORG VTN (1/4"-3/4" 125 BSK</t>
  </si>
  <si>
    <t>3/8" SLD SQ HD PLG 316/316LSS</t>
  </si>
  <si>
    <t>1-1/8" X 1-15/32" X 1/16" 316SS TNG D GPHL GSKT</t>
  </si>
  <si>
    <t>1-1/8" X 1-5/8" X 1/32"CS TNGD GPHT GSKT (SIN)</t>
  </si>
  <si>
    <t>1-1/8" X 1-15/32" X 1/16" CMPRSD NON-ASB GSKT</t>
  </si>
  <si>
    <t>1-1/16" X 1-7/16" X 1/8"304SS &amp; FLEX SPR (SIN)</t>
  </si>
  <si>
    <t>1-1/4" X 1-3/4" X 1/32"CS TNGD GPHT GSKT (SIN)</t>
  </si>
  <si>
    <t>1-7/8" X 2-5/16" X 1/16"CMPRSD NON-ASB (SIN)</t>
  </si>
  <si>
    <t>1-7/8" X 2-5/16" X 1/16"316SS TNGD GPHL (SIN)</t>
  </si>
  <si>
    <t>3/4" &amp; 1" 791 BPLX STR BALL - A351 CF8M 316SS</t>
  </si>
  <si>
    <t>#2-141 ORG BN (1"125 CVR)</t>
  </si>
  <si>
    <t>#2-029 ORG BN (1" 125 BSKT)</t>
  </si>
  <si>
    <t>3/4" SLD SQ HD PLG STL</t>
  </si>
  <si>
    <t>BN ORG KIT FOR 3/4" &amp; 1"791 BPLX STR (4) (SIN)</t>
  </si>
  <si>
    <t>3/4"  1" &amp; 1-1/2" 791 DIHDL SA536 65-45-12</t>
  </si>
  <si>
    <t>#2-141 ORG VTN</t>
  </si>
  <si>
    <t>#2-029 ORG VTN</t>
  </si>
  <si>
    <t>3/4" SLD SQ HD PLG 316SS</t>
  </si>
  <si>
    <t>VTN ORG KIT FOR 3/4" &amp; 1" 791 BPLX STR (4) (SIN)</t>
  </si>
  <si>
    <t>1-5/16" X 1-3/4" X 1/8"316LSS &amp; FLXCB SP (SIN)</t>
  </si>
  <si>
    <t>1-5/16" X 1-13/16" X 1/8" 304SS &amp; FLX SPR (SIN)</t>
  </si>
  <si>
    <t>1-5/8" X 2-1/8" X 1/16"316SS TNGD GPHL (SIN)</t>
  </si>
  <si>
    <t>1-5/8" X 2-1/8" X 1/32"CS TNGD GPHT GSKT (SIN)</t>
  </si>
  <si>
    <t>1-7/16" X 1-15/16" X 1/8304SS &amp; FLXCB SP</t>
  </si>
  <si>
    <t>#2-151 ORG BN</t>
  </si>
  <si>
    <t>#2-034 ORG BN</t>
  </si>
  <si>
    <t>1/2" SLD SQ HD PLG CSA105N</t>
  </si>
  <si>
    <t>#2-151 ORG VTN</t>
  </si>
  <si>
    <t>#2-034 ORG VTN</t>
  </si>
  <si>
    <t>1/2" SLD SQ HD PLG 316SS/316LSS</t>
  </si>
  <si>
    <t>2-1/4" X 3" X 1/32 PF CSTNGD GPHL GSKT (2" 11M)</t>
  </si>
  <si>
    <t>1-11/16" X 2-3/16" X .125" 304SS &amp; FLXCB (SIN)</t>
  </si>
  <si>
    <t>1-13/16" X 2-1/16" X 2-13/16" X .175" 316SS(SIN</t>
  </si>
  <si>
    <t>1-1/2" 791 BPLX STR BALL316SS - A351-CF8M</t>
  </si>
  <si>
    <t>1-1/4" SLD SQ HD PLG STL</t>
  </si>
  <si>
    <t>BN ORG KIT FOR 1-1/4" &amp;1-1/2" 791 BPLX STR(SIN)</t>
  </si>
  <si>
    <t>VTN ORG KIT FOR 1-1/4" &amp;1-1/2" 791 BLPX (SIN)</t>
  </si>
  <si>
    <t>1-15/16" X 2-5/16" X 1/8" 316LSS &amp; FLXCB SP(SIN)</t>
  </si>
  <si>
    <t>1/16 PF SS SCN (1-1/4"FLG Y STR)</t>
  </si>
  <si>
    <t>1-7/8" X 2-3/8" X 1/32"CS TNGD GPHT GSKT (SIN)</t>
  </si>
  <si>
    <t>2-3/4" X 3-1/4" X 1/16"NON- ASB GSKT</t>
  </si>
  <si>
    <t>1-15/16" X 2-7/16" X 1/8304SS &amp; FLXCB (SIN)</t>
  </si>
  <si>
    <t>2-7/16" X 2-7/8" X 1/8"316LSS &amp; FLXCB SP (SIN)</t>
  </si>
  <si>
    <t>#2-242 ORG BN</t>
  </si>
  <si>
    <t>2"  2-1/2"  4" 125 &amp; 2"-5" 155M KNOB DI</t>
  </si>
  <si>
    <t>#2-242 ORG VTN(2" 125 CVR)</t>
  </si>
  <si>
    <t>#2-154 ORG BN (2" #155M)</t>
  </si>
  <si>
    <t>3-5/8" X 4-7/8" X 1/16"CMPRSD NON-ASB GSKT</t>
  </si>
  <si>
    <t>1" CRD SQ HD PLG CI</t>
  </si>
  <si>
    <t>2-7/8" X 3-3/8" X 1/16"316SS TNGD GPHL (SIN)</t>
  </si>
  <si>
    <t>2-3/4" X 3-1/2" X 1/16"TNGD  GPHT GSKT</t>
  </si>
  <si>
    <t>2-5/16" X 2-15/16" X .125" 304SS &amp; FLXCB (SIN)</t>
  </si>
  <si>
    <t>2" 71/72/74/76/77/78SPG,316SS</t>
  </si>
  <si>
    <t>2" 71/72/74/76/77/78 SPRNG INC 600</t>
  </si>
  <si>
    <t>2-9/16" X 3-3/16" X 1/16CMPRSD NON-ASB (SIN)</t>
  </si>
  <si>
    <t>2-9/16" X 3-3/16" X 1/16316SS TNGD GPHT GSKT</t>
  </si>
  <si>
    <t>2-1/8" X 2-3/8" X 3-7/16" X .175 SS &amp; GPHT (SIN)</t>
  </si>
  <si>
    <t>2" 791 BPLX STR BALL316SS - A351 CF8M</t>
  </si>
  <si>
    <t>BN ORG KIT FOR 2" 791 BPLX STR (2) #2-239, (SIN)</t>
  </si>
  <si>
    <t>2" &amp; 3" 791 HDL DI SA53665-45-12</t>
  </si>
  <si>
    <t>2-15/16" X 3-7/16" X 1/8" 316LSS &amp; FLXCB SP(SIN)</t>
  </si>
  <si>
    <t>#2-242 ORG EPM</t>
  </si>
  <si>
    <t>3"  6" &amp; 8" 125 KNOB DI- SA536 65-45-12</t>
  </si>
  <si>
    <t>#2-247 ORG  BN N (2-1/2"125 CVR</t>
  </si>
  <si>
    <t>#2-153 ORG BN (2-1/2"125 BSKT)</t>
  </si>
  <si>
    <t>1" SLD SQ HD PLG CS - A105</t>
  </si>
  <si>
    <t>#2-247 ORG VTN (2-1/2" 125 CVR</t>
  </si>
  <si>
    <t>#2-153 ORG VTN (2-1/2" 125 BSK</t>
  </si>
  <si>
    <t>#2-152 ORG  BN N (2-1/2"#155M)</t>
  </si>
  <si>
    <t>3-1/8" X 3-7/8" X 1/16"CMPRSD NON-ASB (SIN)</t>
  </si>
  <si>
    <t>3-1/2" X 4-1/4" X 1/16"316SS TNGD GPHL</t>
  </si>
  <si>
    <t>3" X 3-3/4" X 1/16" NON-ASB C-4401 GSKT</t>
  </si>
  <si>
    <t>3-1/8" X 3-7/8" X 1/16"316SS TNGD GPHL (SIN)</t>
  </si>
  <si>
    <t>2-1/2" 71/72/74/76/77/78SPG 316SS</t>
  </si>
  <si>
    <t>2-1/2" 71/72/74/76/77/78SP RNG INC 600</t>
  </si>
  <si>
    <t>3" 791 BPLX STR BALLA351 316SS</t>
  </si>
  <si>
    <t>#2-155 ORG BN (3" 125 BSKT)</t>
  </si>
  <si>
    <t>#2-254 ORG BN (3" 790125 CVR)</t>
  </si>
  <si>
    <t>1-1/2" SLD SQ HD PLG CS- A105</t>
  </si>
  <si>
    <t>ORG KT BN 2-253/2-254/2-155/3-117/4-238</t>
  </si>
  <si>
    <t>1-1/2" CRD SQ HD PLG CI</t>
  </si>
  <si>
    <t>#2-155 ORG VTN (3" 125BSK)</t>
  </si>
  <si>
    <t>#2-254 ORG VTN (3" 125CVR)</t>
  </si>
  <si>
    <t>VTN ORG KIT (2) #2-253,(4) #2-238,(3)#2-117,(2)</t>
  </si>
  <si>
    <t>#2-247 ORG EPM(2-1/2" 125 CVR)</t>
  </si>
  <si>
    <t>3-1/2" X 4-1/4" X 1/16"CMPRSD NON-ASB KLGN 4401</t>
  </si>
  <si>
    <t>#2-243 ORG  BN N (3" #155M)</t>
  </si>
  <si>
    <t>4-3/16 X 4-15/16 X 1/16CMPRSD NON- ASB GSKT</t>
  </si>
  <si>
    <t>3" 71/72/74/76/77/78 SPRNG  316SS</t>
  </si>
  <si>
    <t>3" 71/72/74/76/77/78 SPRNG  INC 600</t>
  </si>
  <si>
    <t>#2-254 ORG  EPM (3" 125CVR &amp; 3" X 3" 1011)</t>
  </si>
  <si>
    <t>3" 71/72/74 DISC - A351CF8M 316SS</t>
  </si>
  <si>
    <t>4-3/4"X5-3/8"X1/16" NON-ASB GSKT (4" 751/761)</t>
  </si>
  <si>
    <t>#2-261 ORG BN(4" 125/1011 CVR)</t>
  </si>
  <si>
    <t>#2-159 ORG BN (4" 125 BSK)</t>
  </si>
  <si>
    <t>2" SLD SQ HD PLG STLA105</t>
  </si>
  <si>
    <t>#2-261 ORG VTN</t>
  </si>
  <si>
    <t>#2-159 ORG VTN(4" 125 BSKT)</t>
  </si>
  <si>
    <t>#2-250 ORG BN (4" #155M)</t>
  </si>
  <si>
    <t>5-1/4X5-7/8X1/16 CMPRSDNON ASB GSKT</t>
  </si>
  <si>
    <t>6" X 7-1/4"X 1/16" CMPRSD NON- ASB GSKT</t>
  </si>
  <si>
    <t>1/4" SLD SQ HD PLG STL</t>
  </si>
  <si>
    <t>4" 71/72/74/76/77/78 SPRNG  INC 600</t>
  </si>
  <si>
    <t>4-1/2" X 5-1/2" X 1/16"CMPRSD NON-ASB GSK</t>
  </si>
  <si>
    <t>4-1/2" X 5-1/2" X 1/16"316SS TNGD GPHT (SIN)</t>
  </si>
  <si>
    <t>4" 791 BPLX STR BALL 316SS - A351 CF8M</t>
  </si>
  <si>
    <t>BN ORG KIT FOR 4" 791 BPLX STR (4) #2-261, (SIN)</t>
  </si>
  <si>
    <t>VTN ORG KIT FOR 4" 791 BPLX STR (4) #2-261 (SIN)</t>
  </si>
  <si>
    <t>#2-261 ORG  EPM</t>
  </si>
  <si>
    <t>#2-266 ORG  BN N (5" 125/1011 CVRS)</t>
  </si>
  <si>
    <t>5-1/2X6-7/8X1/16 N/A 4401 GSKT (5" 165/166/185/1</t>
  </si>
  <si>
    <t>5" 71/72/74/76/77/78 SPRNG A-313 316SS</t>
  </si>
  <si>
    <t>5-1/4" X 6-1/4" X 1/16"CMPRSD C-4401 (SIN)</t>
  </si>
  <si>
    <t>5-1/4" X 6-1/4" X 1/16"S16SS TNGD GPHL (SIN)</t>
  </si>
  <si>
    <t>7-1/4" X 8-1/4" X 1/16"316SS TNGD GPHL (SIN)</t>
  </si>
  <si>
    <t>#2-265 ORG  EPM (5" 125CVR &amp; 5" X 5" 1011)</t>
  </si>
  <si>
    <t>5" 71/72/74 DISC -316SSCF8M IAW DWG C-10133-1</t>
  </si>
  <si>
    <t>#2-273 ORG BN (6" 125/1011CVR)</t>
  </si>
  <si>
    <t>#2-264 ORG BN (6" 125 BSKT)</t>
  </si>
  <si>
    <t>#2-273 ORG VTN</t>
  </si>
  <si>
    <t>#2-264 ORG VTN (6" 125 BSKT)</t>
  </si>
  <si>
    <t>#2-262 ORG BN (6" 155M)</t>
  </si>
  <si>
    <t>6-5/8" X 8-1/4" X 1/16"CMPRS NON-ASB GSKT</t>
  </si>
  <si>
    <t>6-7/8" X 8" X 1/16" 316SS TNGD GPHL GSKT (SIN)</t>
  </si>
  <si>
    <t>6" 71/72/74/76/77/78 SPG316SS</t>
  </si>
  <si>
    <t>6" 71/72/74/76/77/78 SPRNG  INC 600</t>
  </si>
  <si>
    <t>7-1/4" X 8-1/4" X 1/16"CMPRSD NON-ASB (SIN)</t>
  </si>
  <si>
    <t>6" 791 BPLX STR BALL316SS - A351 CF8M</t>
  </si>
  <si>
    <t>ORG KIT BN 2-376/4-155/4-254/3-218/4-262</t>
  </si>
  <si>
    <t>VTN ORG KIT FOR 6" 791 BPLX STR (2) 2-376, (SIN)</t>
  </si>
  <si>
    <t>#2-273 ORG  EPM</t>
  </si>
  <si>
    <t>6" 71/72/74 DISC - A351CF8M 316SS</t>
  </si>
  <si>
    <t>#2-381 ORG BN</t>
  </si>
  <si>
    <t>#2-272 ORG  BN N (8"125BSK</t>
  </si>
  <si>
    <t>#2-382 ORG  BN N (10" 691)</t>
  </si>
  <si>
    <t>#2-381 ORG VTN (8" 125 CVR</t>
  </si>
  <si>
    <t>#2-272 ORG VTN (8" 125 BSK</t>
  </si>
  <si>
    <t>#2-268 ORG  BN N (8" 92/101/103)</t>
  </si>
  <si>
    <t>8-3/8" X 9-1/2" X 1/16"CMPRSD NON-ASB (SIN)</t>
  </si>
  <si>
    <t>6" X 6-3/4" X 1/16" CMPRSD NON-ASB GSKT</t>
  </si>
  <si>
    <t>8" 71/72/74/76/77/78 SPRNG A-313 316SS</t>
  </si>
  <si>
    <t>8" 71/72/74/76/77/78 SPRNG , INC 600</t>
  </si>
  <si>
    <t>9" X 10-3/8" X 1/16" CMPRSD NON-ASB GSKT (SIN)</t>
  </si>
  <si>
    <t>9" X 10-3/8" X 1/16" 316SS TNGD GPHL GSKT (SIN)</t>
  </si>
  <si>
    <t>4" 109MHT SS 300# FLGSLNT GLB CV W/316SS TRIM</t>
  </si>
  <si>
    <t>10-3/4" X 11-7/8" X 1/16CMPRSD NON-ASB (SIN)</t>
  </si>
  <si>
    <t>#2-381 ORG  EPM (12" 721/722 DISC)</t>
  </si>
  <si>
    <t>8" 71/72/74 DISC - A351CF8M 316SS</t>
  </si>
  <si>
    <t>#2-384 ORG BN</t>
  </si>
  <si>
    <t>2-276 ORG  BN N (10" #155M)</t>
  </si>
  <si>
    <t>10-5/8" X 12-1/8" X 1/16CMPRSD NON-ASB (SIN)</t>
  </si>
  <si>
    <t>10-5/8" X 12-1/8" X 1/16316SS TNGD GPHT GSKT</t>
  </si>
  <si>
    <t>13" X 14-1/4" X 1/16"CMPSD NON-ASB GSKT</t>
  </si>
  <si>
    <t>#2-384 ORG  EPM (10"  12", 10" X 10" 1011/1012)</t>
  </si>
  <si>
    <t>13-1/2" X 15-3/8" X 1/16CMPRSD NON-ASB GSKT</t>
  </si>
  <si>
    <t>#2-386 ORG  BN N (14" &amp;16" 691)</t>
  </si>
  <si>
    <t>17" X 18-1/2" X 1/16" CMPRSD C-4401 NON-ASB(SIN)</t>
  </si>
  <si>
    <t>#2-462 ORG EPM</t>
  </si>
  <si>
    <t>19" X 20" X 1/16" C-4401NON-ASB GSKT (SIN)</t>
  </si>
  <si>
    <t>17" X 19-3/4" X 1/16" C-4401 NON-ASB GSKT</t>
  </si>
  <si>
    <t>15-5/8X18-1/4X1/16NON-ASB 4401 GSKT</t>
  </si>
  <si>
    <t>22-1/4" X 23-7/8" X 1/16" C-4400 NON-ASB (SIN)</t>
  </si>
  <si>
    <t>1/2" 581SS-N 600# W/1/16" PF SS SCN</t>
  </si>
  <si>
    <t>1/4" NPT HX SKT PIPE PLGCS</t>
  </si>
  <si>
    <t>3/8" NPT HX SKT PIPE PLGCS</t>
  </si>
  <si>
    <t>1/2" NPT HX SKT PIPE PLGCS</t>
  </si>
  <si>
    <t>1/4" NPT HX SKT PIPE PLG316SS</t>
  </si>
  <si>
    <t>3/8" NPT HX SKT PIPE PLG316SS</t>
  </si>
  <si>
    <t>1/2" NPT HX SKT PIPE PLG316SS</t>
  </si>
  <si>
    <t>3/4" NPT HX SKT PIPE PLG316SS</t>
  </si>
  <si>
    <t>1/16" PF SS BSK (3" FLGBASKET STR</t>
  </si>
  <si>
    <t>3" X 2-1/2" 1012 DI 300#FLG SUC DIFF</t>
  </si>
  <si>
    <t>5/32" PF; 20ML SS SCN(6" 758 Y STR)</t>
  </si>
  <si>
    <t>5/32" PF; 100ML SS SCN(6" 758 Y STR)</t>
  </si>
  <si>
    <t>1/4" SLD SQ HD PLG 316SS/316LSS</t>
  </si>
  <si>
    <t>3" 781CS-N 150# W/1/16"PF SS SCN</t>
  </si>
  <si>
    <t>6" 781CS-N 150# W/1/8"PF SS SCN</t>
  </si>
  <si>
    <t>2" 781CS-N 150# W/1/16"PF SS SCN</t>
  </si>
  <si>
    <t>3/4" 582CS-N 600# SW YSTR</t>
  </si>
  <si>
    <t>1" 582CS-N 600# SW Y STR</t>
  </si>
  <si>
    <t>2" 582CS-N 600# SW Y STR</t>
  </si>
  <si>
    <t>4" 781CS-N 150# W/1/16"PF SS SCN</t>
  </si>
  <si>
    <t>1-1/2" 581CS-N 600# W/1/16" PF SS SCN</t>
  </si>
  <si>
    <t>1" 581SS-N 600# W/1/16"PF SS SCN</t>
  </si>
  <si>
    <t>4" 782CS-N 300# W/1/16"PF SS SCN</t>
  </si>
  <si>
    <t>3" 782CS-N 300# W/1/16"PF SS SCN</t>
  </si>
  <si>
    <t>ORG KIT VTN ENCP W/TFE(3)2-014/(4)2-141/(2)2-0</t>
  </si>
  <si>
    <t>1/2" 582CS-N 600# W/1/16" PF SS SCN</t>
  </si>
  <si>
    <t>1-1/4" 582CS-N 600# W/1/16" PF SS SCN</t>
  </si>
  <si>
    <t>2-1/2" X 2-3/16" X 1/16"316SS TNG D GPHT GSKT</t>
  </si>
  <si>
    <t>#2-384 ORG VTN</t>
  </si>
  <si>
    <t>ORG KIT EPM (5" - 6" 790)</t>
  </si>
  <si>
    <t>1/4" 251DI 300# W/1/16"PF SS SCN</t>
  </si>
  <si>
    <t>1/2  581CS-N 600# W/1/16PF SS SCN</t>
  </si>
  <si>
    <t>1/2  582SS-N 600# W/1/16PF SS SCN</t>
  </si>
  <si>
    <t>3/4  581CS-N 600# W/1/16PF SS SCN</t>
  </si>
  <si>
    <t>3/4" 581SS-N 600# W/1/16" PF SS SCN</t>
  </si>
  <si>
    <t>3/4  582SS-N 600# W/1/16PF SS SCN</t>
  </si>
  <si>
    <t>3/4" 792SDH 150# W/1/16"PF SS BSK</t>
  </si>
  <si>
    <t>#2-266 ORG VTN</t>
  </si>
  <si>
    <t>1" 581CS-N 600# W/1/16"PF SS SCN</t>
  </si>
  <si>
    <t>1" 582SS-N 600# W/1/16"PF SS SCN</t>
  </si>
  <si>
    <t>1-1/4" 581SS-N 600# W/1/16" PF SS SCN</t>
  </si>
  <si>
    <t>1-1/4" 582SS-N 600# W/1/16" PF SS SCN</t>
  </si>
  <si>
    <t>1-1/4" 862SS 600# W/1/16" PF SS SCN</t>
  </si>
  <si>
    <t>1-1/2" 581SS-N 600# W/1/16" PF SS SCN</t>
  </si>
  <si>
    <t>1-1/2" 582CS-N 600# W/1/16" PF SS SCN</t>
  </si>
  <si>
    <t>1-1/2" 582SS-N 600# W/1/16" PF SS SCN</t>
  </si>
  <si>
    <t>2" 107MAT CI 250# FLGDSLNT GLB CHK VLV W/316SS</t>
  </si>
  <si>
    <t>2" 581CS-N 600# W/1/16"PF SS SCN</t>
  </si>
  <si>
    <t>2" 581SS-N 600# W/1/16"PF SS SCN</t>
  </si>
  <si>
    <t>2" 582SS-N 600# W/1/16"PF SS SCN</t>
  </si>
  <si>
    <t>2" X 1-1/2" 1011G DI 150# W/5/32" PF; 20ML SS</t>
  </si>
  <si>
    <t>2-1/2" 72IHH3H 150# DI/316/316/ BN 316 SC</t>
  </si>
  <si>
    <t>3" X 2-1/2"1011G DI 150#W/5/32" PF; 20ML SS SCN</t>
  </si>
  <si>
    <t>3" X 3" 1012 DI 300# W/5/32" PF; 20ML SS SCN</t>
  </si>
  <si>
    <t>4" 782SSWE 300# W/1/16"PF SS SCN</t>
  </si>
  <si>
    <t>4" 71/72/74/76/78 SP RNG316SS .10 PSI CRKG</t>
  </si>
  <si>
    <t>5" 72IHH3H 150# DI/316/316/ BN 316 SC</t>
  </si>
  <si>
    <t>6" 791 LWR SFT - A351 316SS</t>
  </si>
  <si>
    <t>12" 781CSWE 150# W/1/8"PF SS SCN</t>
  </si>
  <si>
    <t>14" 722 DI 300# FLG  TRIPLE FCTN CTRL CV</t>
  </si>
  <si>
    <t>1-1/2" 781CSWE 150# W/1/16" PF SS SCN</t>
  </si>
  <si>
    <t>1/2" 782CS 300# W/ 1/16"PF SS SCN</t>
  </si>
  <si>
    <t>1" 782CSWE 300# W/1/16"PF SS SCN</t>
  </si>
  <si>
    <t>2" 126FCS 300# W/1/16"PF SS BSK</t>
  </si>
  <si>
    <t>8  300 1603-AC CS SFT ST</t>
  </si>
  <si>
    <t>10  600 1605-AC CHX SFT</t>
  </si>
  <si>
    <t>14  125 1600-D  CHX CI</t>
  </si>
  <si>
    <t>DISC 10  600-900 316SS CHX</t>
  </si>
  <si>
    <t>2-1/2" 781CS-N 150# W/1/16" PF SS SCN</t>
  </si>
  <si>
    <t>8" 781CS-N 150# W/1/8"PF SS SCN</t>
  </si>
  <si>
    <t>2" 782CS-N 300# W/1/16"PF SS SCN</t>
  </si>
  <si>
    <t>2-1/2" 782CS-N 300# W/1/16" PF SS SCN</t>
  </si>
  <si>
    <t>6" 782CS-N 300# W/1/8"PF SS SCN</t>
  </si>
  <si>
    <t>8" 782CS-N 300# W/1/8" PF SS SCN</t>
  </si>
  <si>
    <t>5/32" PF; 40ML 316SS SCN(4" 781/782/758 Y STR)</t>
  </si>
  <si>
    <t>5/32" PF; 60ML SS SCN(3" 351M/352M Y STR)</t>
  </si>
  <si>
    <t>1-1/4" 581SS 600# THRD YSTR W/ 5/32" PF  40ML SS</t>
  </si>
  <si>
    <t>1/2" 781SS 150# W/5/32"PF; 40ML SS SCN</t>
  </si>
  <si>
    <t>5/32" PF; 100ML SS (1/4"&amp; 3/8" 861/862 Y STR)</t>
  </si>
  <si>
    <t>1/2" 782SS 300# FLG Y STR W/5/32"PF 40ML SS SCN</t>
  </si>
  <si>
    <t>3/4" 782CS 300# W/5/32"PF; 100ML SS SCN</t>
  </si>
  <si>
    <t>5/32" PF; 60ML SS BSK(3" 185/186 BSK STR)</t>
  </si>
  <si>
    <t>5/32" PF; 20ML SS SCN(16" 781/782/758 Y STR)</t>
  </si>
  <si>
    <t>5/32" PF; 20ML SS SCN(14" 781/782/758)</t>
  </si>
  <si>
    <t>8" 781SS 150# FLG Y STRW/5/32" PF; 100 MSH LND</t>
  </si>
  <si>
    <t>6" 155M CI 125# FLG BSKTSTR W/5/32" PF;100 MSH L</t>
  </si>
  <si>
    <t>5/32" PF; 60ML SS SCN(6" 751/752 Y STR)</t>
  </si>
  <si>
    <t>4" 781 SS 150# FLG  Y STR W/100 MSH LND SS SCN</t>
  </si>
  <si>
    <t>1-1/4" 125SS 200 PSI WOGSCWD BSKT STR W/40MSH LN</t>
  </si>
  <si>
    <t>1/2" 782SS 300# W/5/32"PF; 100ML SS SCN</t>
  </si>
  <si>
    <t>1/2" 781SS 150# W/5/32"PF 100ML SS SCN</t>
  </si>
  <si>
    <t>10" 781CS-N 150# W/1/8"PF SS SCN</t>
  </si>
  <si>
    <t>12" 782CS-N 300# W/1/8"PF SS SCN</t>
  </si>
  <si>
    <t>2" 782CSWE 300# W/5/32"PF; 40ML SS SCN</t>
  </si>
  <si>
    <t>5/32" PF; 80ML SS SCN (5" 781/758 Y STR)</t>
  </si>
  <si>
    <t>3" 781 CS 150# FLG Y STR W/100 MSH LND SS SCN</t>
  </si>
  <si>
    <t>12" 71/72/74 DISC 316SSA351 CF8M</t>
  </si>
  <si>
    <t>4" 71/72/74 DISC 316SSCF8M</t>
  </si>
  <si>
    <t>2-1/2" 722 DI 300# FLGDTRIPLE FCTN CTRL CV</t>
  </si>
  <si>
    <t>5" 125FSS 150# W/1/8" PFSS BSK</t>
  </si>
  <si>
    <t>8" X 8" 1011G 150# W/1/8" PF; 20ML SS SCN</t>
  </si>
  <si>
    <t>2" 71/72/74 DISC 316SSA351-CF8M</t>
  </si>
  <si>
    <t>5" 101MDT CS 150# FLGSLNT WFR CV W/316SS TRIM</t>
  </si>
  <si>
    <t>2" 582SS 600# SW W/40MLSS, 5/32" PF SCN</t>
  </si>
  <si>
    <t>2-1/2" 71/72/74 DISC 316SS A351 CF8M</t>
  </si>
  <si>
    <t>10" 74DHHDH 300# CS/316/316/MTL-MTL/316 SC</t>
  </si>
  <si>
    <t>3/8" 251DI W/100ML SS,5/32" PF SCN</t>
  </si>
  <si>
    <t>1/16" PF SS SCN (3/4"251 Y STR)</t>
  </si>
  <si>
    <t>10" X 8" 1011G DI 150#W/1/8" PF; 20ML SS SCN</t>
  </si>
  <si>
    <t>20" 781CS 150" FLG Y STRW/ 1/8" PF SS SCN</t>
  </si>
  <si>
    <t>24" 72HHH3H 150" 316/316/316/BN/316 SC</t>
  </si>
  <si>
    <t>2" 74DHH3H 300" CS/316/316/BN/316 SC</t>
  </si>
  <si>
    <t>1/2" 782CSWE 300# WE YSTR</t>
  </si>
  <si>
    <t>3/4" 782CSWE 300# W/1/16" PF SS SCN</t>
  </si>
  <si>
    <t>2-1/2 125 1600-D CHX CIBN</t>
  </si>
  <si>
    <t>2-1/2" 11M 250# W/5/32"PF; 100ML SS SCN</t>
  </si>
  <si>
    <t>5/32" PF; 100ML SS BSK(1-1/2" 185/186 BSK STR)</t>
  </si>
  <si>
    <t>3" 185CS 150# W/1/8" PF;40ML SS BSK</t>
  </si>
  <si>
    <t>3" 125SS 200 PSI W/5/32"PF; 40ML SS BSK</t>
  </si>
  <si>
    <t>10" 125FSS 150# FLG BSKSTR</t>
  </si>
  <si>
    <t>6" 72HHH3W 150# 316/316/316/BN INC SC</t>
  </si>
  <si>
    <t>12" 722G DI 300# GRV ENDCTRL CV</t>
  </si>
  <si>
    <t>1-1/2" 251DI 300# W/5/32" PF; 40ML SS SCN</t>
  </si>
  <si>
    <t>2" 125SS 200 PSI W/5/32"PF; 40ML 316SS BSK</t>
  </si>
  <si>
    <t>2" 781CSWE 150# W/5/32"PF; 100ML SS SCN</t>
  </si>
  <si>
    <t>3/4" 781SS 150# W/5/32"PF; 100ML SS SCN</t>
  </si>
  <si>
    <t>5/32" PF; 40ML SS SCN(18" 758 Y STR)</t>
  </si>
  <si>
    <t>5/32" PF; 60ML SS SCN(6" 758 FLG Y STR)</t>
  </si>
  <si>
    <t>6" 165 CI 125# W/5/32"PF; 100ML SS BSK</t>
  </si>
  <si>
    <t>1/2" 764CS 600# W/5/32"PF; 40ML SS SCN</t>
  </si>
  <si>
    <t>3/4" 782CS 300# W/5/32"PF; 40ML SS SCN</t>
  </si>
  <si>
    <t>4" 186CS 300# W/1/8" PF;100ML 316SS BSK</t>
  </si>
  <si>
    <t>3" 752 CI 250# W/5/32"PF; 40ML SS SCN</t>
  </si>
  <si>
    <t>14" 74DHH3H 300# CS/316/316/BN 316 SC</t>
  </si>
  <si>
    <t>1" 782SS 300# W/5/32"PF; 40ML SS SCN</t>
  </si>
  <si>
    <t>1" 125FCI 125# W/5/32"PF; 40ML SS BSK</t>
  </si>
  <si>
    <t>1-1/2" 782SS 300# W/5/32" PF; 40ML SS SCN</t>
  </si>
  <si>
    <t>1/2" 781SSWE 150# W/1/166" PF SS SCN</t>
  </si>
  <si>
    <t>1/2" LF352 SLCN BRZ W/20MSH SS SCN</t>
  </si>
  <si>
    <t>3/4" LF352 SLCN BRZ W/20MSH SS SCN</t>
  </si>
  <si>
    <t>1" LF352 SLCN BRZ W/20 MSH SS SCN</t>
  </si>
  <si>
    <t>1-1/4" LF352 SLCN BRZW/20 MSH SS SCN</t>
  </si>
  <si>
    <t>3" LF352 SLCN BRZ SCWD YSTR</t>
  </si>
  <si>
    <t>1/2" LF358S SCLN BRZ W/20 MSH SS SCN</t>
  </si>
  <si>
    <t>3/4" LF358S SLCN BRZ SLDY STR</t>
  </si>
  <si>
    <t>1" LF358S SLCN BRZ W/20MSH SS SCN</t>
  </si>
  <si>
    <t>1-1/4" LF358S SLCN BRZW/20 MSH SS SCN</t>
  </si>
  <si>
    <t>1-1/2" LF358S SLCN BRZW/20 MSH SS SCN</t>
  </si>
  <si>
    <t>2" LF358S SLCN BRZ W/20MSH SS SCN</t>
  </si>
  <si>
    <t>3/4" 781SSWE 150# W/1/16" PF SS SCN</t>
  </si>
  <si>
    <t>5/32" PF; 80ML SS SCN(2-1/2" 351M/352M)</t>
  </si>
  <si>
    <t>1-1/4" 782CSWE 300# W/1/16" PF SS SCN</t>
  </si>
  <si>
    <t>14" 758 CI 125# W/5/32"PF; 40ML SS SCN</t>
  </si>
  <si>
    <t>3" 125FSS 150# W/5/32"PF; 100ML SS BSK</t>
  </si>
  <si>
    <t>1-1/2" 126FCS-HC 300#FLG  BSK STR</t>
  </si>
  <si>
    <t>4" X 3" 1012 DI 300# W/5/32" PF 20ML SS SCN</t>
  </si>
  <si>
    <t>8 300 1603-C 316SS SFTTFL SEAL</t>
  </si>
  <si>
    <t>6" 781CSWE 150# W/5/32"PF; 100ML SS SCN</t>
  </si>
  <si>
    <t>6" 781CSWE 150# W/5/32"PF; 40ML SS SCN</t>
  </si>
  <si>
    <t>2" 582SS 600# W/5/32" PF; 100ML SS SCN</t>
  </si>
  <si>
    <t>3" 125FCS 150# W/5/32"PF; 100ML SS BSK</t>
  </si>
  <si>
    <t>1-1/2" 125FCI 125# /5/32" PF; 40ML SS BSK</t>
  </si>
  <si>
    <t>5/32" PF; 20ML SS SCN (12" 751/752 Y STR)</t>
  </si>
  <si>
    <t>5/32" PF; 20ML SS SCN (14" 751/752 Y STR)</t>
  </si>
  <si>
    <t>3" 782SSWE 300# W/1/16"PF SS SCN</t>
  </si>
  <si>
    <t>12" 752 CI 250# W/5/32"PF; 40ML SS, PLGD B/O</t>
  </si>
  <si>
    <t>5" 781SS 150# W/5/32" PF; 100ML SS SCN</t>
  </si>
  <si>
    <t>2" 752CI-N 250# W/1/16"PF SS SCN</t>
  </si>
  <si>
    <t>2-1/2  752-N 250# W/1/16PF SS SCN</t>
  </si>
  <si>
    <t>3" 752CI-N 250# W/1/16"PF SS SCN</t>
  </si>
  <si>
    <t>4" 752CI-N 250# W/1/16"PF SS SCN</t>
  </si>
  <si>
    <t>5" 752CI-N 250# W/1/8" PF SS SCN</t>
  </si>
  <si>
    <t>6" 752CI-N 250# W/1/8"PF SS SCN</t>
  </si>
  <si>
    <t>8" 752CI-N 250# W/1/8"PF SS SCN</t>
  </si>
  <si>
    <t>10" 752CI-N 250# W/1/8"PF SS SCN</t>
  </si>
  <si>
    <t>12" 752CI-N 250# W/1/8"PF SS SCN</t>
  </si>
  <si>
    <t>14" 752CI-N 250# W/1/8"PF SS SCN</t>
  </si>
  <si>
    <t>16" 752CI-N 250# W/1/8"PF SS SCN</t>
  </si>
  <si>
    <t>18" 752CI 250# W/1/8" PFSS SCN</t>
  </si>
  <si>
    <t>20" 752CI 250# W/1/8" PFSS SCN</t>
  </si>
  <si>
    <t>20" 752CI-N 250# W/1/8"PF SS SCN</t>
  </si>
  <si>
    <t>18" 752CI-N 250# W/1/8"PF SS SCN</t>
  </si>
  <si>
    <t>24" 752CI-N 250# W/1/8"PF SS SCN</t>
  </si>
  <si>
    <t>1/2" 125CI-N 125# W/1/16" PF SS BSK</t>
  </si>
  <si>
    <t>3/4" 125CI-N 125# W/1/16" PF SS BSK</t>
  </si>
  <si>
    <t>1" 125CI-N 125# W/1/16"PF SS BSK</t>
  </si>
  <si>
    <t>1-1/2" 125CI-N 125# W/1/16" PF SS BSK</t>
  </si>
  <si>
    <t>2" 125CI-N 125# W/1/16"PF SS BSK</t>
  </si>
  <si>
    <t>2-1/2" 125CI-N 125# W/1/16" PF SS BSK</t>
  </si>
  <si>
    <t>3" 125CI-N 125# W/1/16"PF SS BSK</t>
  </si>
  <si>
    <t>2" 781CSWE 150# W/5/32"PF; 40ML SS SCN</t>
  </si>
  <si>
    <t>2" 125CS 200 PSI WOG W/5/32" PF; 40ML SS BSK</t>
  </si>
  <si>
    <t>1" 781SSWE 150# W/5/32"PF; 40ML SS SCN</t>
  </si>
  <si>
    <t>3/8" 862CS 600# W/1/16"PF SS SCN</t>
  </si>
  <si>
    <t>10" 126FCS 300# W/1/8"PF SS BSK</t>
  </si>
  <si>
    <t>15"X13-3/4"X1/16" MTLINSRTD GPHT GSK</t>
  </si>
  <si>
    <t>5/32" PF; 80ML 304SS SCN(3/8" 861/862 Y STR)</t>
  </si>
  <si>
    <t>1/16" PF; 40ML SS SCN(4" 751/752 Y STR)</t>
  </si>
  <si>
    <t>DISC 12 &amp; 14 600-900 DINI PL CHX DISC (OSV)</t>
  </si>
  <si>
    <t>4" 155M CI 125# W/5/32"PF; 100ML SS BSK</t>
  </si>
  <si>
    <t>1/8" PF; 40ML SS SCN(8" 751/752 Y STR)</t>
  </si>
  <si>
    <t>8" 752CI 250# W/1/8" PF;40ML SS SCN</t>
  </si>
  <si>
    <t>8" 109MHT SS 300# FLG SLNT GLB CV W/316SS TRIM</t>
  </si>
  <si>
    <t>1-1/2" 185SS 150# W/5/32" PF; 100ML SS BSK</t>
  </si>
  <si>
    <t>2" 794SDH CS 300# SCWDBPLX STR W/SS BALL,1/16"</t>
  </si>
  <si>
    <t>5/32" PF; 60ML SS BSK(10" 155M/165 BSK STR)</t>
  </si>
  <si>
    <t>2-1/2" 782CS 300# W/5/32" PF; 100ML SS SCN</t>
  </si>
  <si>
    <t>2-1/2" 74DHH3H 300# CS/316/316/ BN 316 SC</t>
  </si>
  <si>
    <t>5/32" PF; 100ML SS BSK(2-1/2" 185/186 BSK STR</t>
  </si>
  <si>
    <t>2-1/2" 185SS 150# W/5/32" PF; 100ML SS BSK</t>
  </si>
  <si>
    <t>3/4" 782SS 300# W/5/32"PF; 100ML SS SCN</t>
  </si>
  <si>
    <t>12 300 1603-C CHX 316SSSFT</t>
  </si>
  <si>
    <t>12" 781CS 150# W/5/32" PF; 100ML SS SCN</t>
  </si>
  <si>
    <t>5" X 4-1/4" X 1/8" TNGDINSTRD GPHT GSK</t>
  </si>
  <si>
    <t>2-1/2" 74IHH3H 300# DI/316/316/BN 316 SC</t>
  </si>
  <si>
    <t>10" 782CS 300# W/5/32"PF; 40ML SS SCN</t>
  </si>
  <si>
    <t>5/32" PF; 100ML SS SCN(1" 751/752/758 Y STR)</t>
  </si>
  <si>
    <t>1" 758 CI 125# W/5/32"PF; 100ML SS SCN</t>
  </si>
  <si>
    <t>10" 74HHH3H 300# 316/316/316/ BN 316 SC</t>
  </si>
  <si>
    <t>2" 125FCI 125# W/1/8" PF; 100ML SS BSK</t>
  </si>
  <si>
    <t>2-1/2" 125SS 200 PSI WOGSCWD BSK STR</t>
  </si>
  <si>
    <t>12" 758 CI 125# W/5/32"PF; 40ML SS SCN</t>
  </si>
  <si>
    <t>1" 782SSWE 300# WE Y STR</t>
  </si>
  <si>
    <t>5/32" PF; 100ML SS BSK(12" 155M/165 BSK STR)</t>
  </si>
  <si>
    <t>12" 165 CI 125# W/5/32"PF; 100ML SS BSK</t>
  </si>
  <si>
    <t>1" 125FCI 125# W/5/32"PF; 100ML SS BSK</t>
  </si>
  <si>
    <t>1/16" PF SS SCN (2" 781/782/758 -N Y STR)</t>
  </si>
  <si>
    <t>6" 109MHT SS 300# FLGDSLNT GLB CV W/316SS TRIM</t>
  </si>
  <si>
    <t>1/16" PF SS SCN (3" 781/782 -N Y STR)</t>
  </si>
  <si>
    <t>1/16" PF SS SCN (4" 781/782/758 -N Y STR)</t>
  </si>
  <si>
    <t>1/8" PF SS SCN (5" 781/758 -N Y STR)</t>
  </si>
  <si>
    <t>1/8" PF SS SCN (6" 781/782 -N Y STR)</t>
  </si>
  <si>
    <t>1/8" PF SS SCN (8" 781/782/758 -N Y STR)</t>
  </si>
  <si>
    <t>1/8" PF SS SCN (10" 781/782/758 -N Y STR)</t>
  </si>
  <si>
    <t>1/8" PF SS SCN (12" 781/782/758 -N Y STR)</t>
  </si>
  <si>
    <t>3/4" 125SS 200 PSI W/5/32" PF; 40ML SS BSK</t>
  </si>
  <si>
    <t>1/16" PF SS SCN (1/4",3/8",1/2" 581/582-N Y STR)</t>
  </si>
  <si>
    <t>1/16" PF SS SCN (3/4" 581/582-N Y STR)</t>
  </si>
  <si>
    <t>1/16" PF SS SCN (1-1/4"581/582-N Y STR)</t>
  </si>
  <si>
    <t>1/16" PF SS SCN (1-1/2"581/582-N Y STR)</t>
  </si>
  <si>
    <t>1/16" PF SS SCN (2" 581/582-N Y STR)</t>
  </si>
  <si>
    <t>2-1/2" 186CS 300# W/1/16" PF SS BSK</t>
  </si>
  <si>
    <t>2.250 X 2.700 X .031CS TNGD GPHT GSKT (SIN)</t>
  </si>
  <si>
    <t>5/32" PF; 60ML SS SCN (5" 781/758 Y STR)</t>
  </si>
  <si>
    <t>5" 166DI 300# W/1/8" PFSS BSK</t>
  </si>
  <si>
    <t>5/32" PF; 80ML SS SCN(6" 758 Y STR)</t>
  </si>
  <si>
    <t>1-1/2" 794FHH 300# W/1/16" PF SS BSK</t>
  </si>
  <si>
    <t>5/32" PF; 20ML SS BSK (5" 155M/165/166 BSK STR)</t>
  </si>
  <si>
    <t>2" 186CS 300# W/5/32" PF; 100ML SS BSK</t>
  </si>
  <si>
    <t>1-1/2" 582CS 600# W/5/32" PF; 100ML SS SCN</t>
  </si>
  <si>
    <t>5" 758 CI 125# W/5/32"PF; 40ML SS SCN</t>
  </si>
  <si>
    <t>2" 109MHT SS 300# FLGDSLNT GLB CV W/316SS TRM</t>
  </si>
  <si>
    <t>2" 185SS 150# W/5/32" PF; 40ML SS BSK</t>
  </si>
  <si>
    <t>3" 109MHT SS 300# FLGDSLNT GLB CV W/316SS TRIM</t>
  </si>
  <si>
    <t>1" 781CSWE 150# W/5/32"PF; 100ML SS SCN</t>
  </si>
  <si>
    <t>1-1/4" 582SS 600# 5/32"PF; 100ML SS SCN</t>
  </si>
  <si>
    <t>3/8" 582SS 600# SW Y STRW/1/16" PF SS SCN</t>
  </si>
  <si>
    <t>1-1/2" 125FSS 150# W/5/32" PF; 100ML SS BSK</t>
  </si>
  <si>
    <t>3" 781CSWE 150# W/5/32"PF; 100ML SS SCN</t>
  </si>
  <si>
    <t>1-1/4" 752 CI 250# FLGY STR</t>
  </si>
  <si>
    <t>3" 185CS 150# W/5/32" PF; 100ML SS BSK</t>
  </si>
  <si>
    <t>3/4" 794SHH SS 300# SCWDBPLX STR W/SS BALL</t>
  </si>
  <si>
    <t>2" 103MHT SS 300# FLGDSLNT WFR CV W/316SS TRIM</t>
  </si>
  <si>
    <t>20" 72DHH3H 150# CS/316/316/BN 316 SC</t>
  </si>
  <si>
    <t>3" 782CSWE 300# W/5/32"PF; 40ML SS SCN</t>
  </si>
  <si>
    <t>1" 251DI 300# W/5/32" PF; 40ML SS SCN</t>
  </si>
  <si>
    <t>1-1/2" 794SDH CS 300# SCWD BPLX STR W/SS BALL</t>
  </si>
  <si>
    <t>4  88IHH65 DI/316S/316D/EPM W/GO BFV</t>
  </si>
  <si>
    <t>1-1/4" 103AT CI 250# WFRCV W/316 TRIM</t>
  </si>
  <si>
    <t>5/32" PF; 100ML SS BSK(6" 185/186 BSK STR)</t>
  </si>
  <si>
    <t>18" 781CS 150# W/1/8" PFSS SCN</t>
  </si>
  <si>
    <t>4" 781CSWE 150# W/5/32"PF; 40ML SS SCN</t>
  </si>
  <si>
    <t>16" 72DHH3H 150# CS/316/316/BN 316 SC</t>
  </si>
  <si>
    <t>12" 781CS 150# (-N) W/1/8" PF SS SCN</t>
  </si>
  <si>
    <t>10" 782CS-N 300# W/1/8"PF SS SCN</t>
  </si>
  <si>
    <t>1-1/2" 794SHH SS 300# SCWD BPLX STR W/SS BALL</t>
  </si>
  <si>
    <t>1-1/4" 794SHH SS 300# SCWD BPLX STR</t>
  </si>
  <si>
    <t>24" 72DHH3H 150# CS/316/316/BN 316 SC</t>
  </si>
  <si>
    <t>2" 71AHH3W 125# CI/316/316/BN INC SC</t>
  </si>
  <si>
    <t>4" 71AHH3W 125# CI/316/316/BN INC SC</t>
  </si>
  <si>
    <t>1/8" PF SS SCN (14" 781/782/758 -N Y STR)</t>
  </si>
  <si>
    <t>1" 764CS 600# W/5/32" PF; 100ML SS SCN</t>
  </si>
  <si>
    <t>1/8" PF SS SCN (16" 781/782/758 -N Y STR)</t>
  </si>
  <si>
    <t>3" 74HHHHW 300# 316/316/316/MTL-MTL/INC SC</t>
  </si>
  <si>
    <t>12-1/4"X13-1/4"X1/16" 316SS TNGD GPHT GSK</t>
  </si>
  <si>
    <t>3" 781SSWE 150# W/5/32"PF; 100ML SS SCN</t>
  </si>
  <si>
    <t>10" 92AT CI CMPCT WFRSLNT CV W/316SS TRM</t>
  </si>
  <si>
    <t>20" 721 CI 125# FLG TRPLFCTN CNTRL CV</t>
  </si>
  <si>
    <t>3/4" 125CS 200 PSI WOGW/5/32" PF; 100ML SS BSK</t>
  </si>
  <si>
    <t>3/4" 125FSS 150# W/5/32"PF; 100ML SS BSK</t>
  </si>
  <si>
    <t>10" 781CS 150# W/5/32"PF; 100ML SS SCN</t>
  </si>
  <si>
    <t>5/32" PF; 40ML SS BSK (10" 185/186 BSK STR)</t>
  </si>
  <si>
    <t>10" 781CS 150# W/1/8" PF; 40ML SS SCN</t>
  </si>
  <si>
    <t>2-1/2" 792SHH 150# W/1/16" PF SS BSK</t>
  </si>
  <si>
    <t>24" 105MAT CI 125# FLGSLNT GLB CV W/316SS TRIM</t>
  </si>
  <si>
    <t>1-1/2" 794FDH 300# W/1/16" PF SS BSK</t>
  </si>
  <si>
    <t>2" 74IHH3H 300# DI/316/316/BN 316 SC</t>
  </si>
  <si>
    <t>2-1/2" 74HHH3H 300# 316/316/316/BN/316 SC</t>
  </si>
  <si>
    <t>8" 125FCI 125# W/5/32"PF; 100ML SS BSK</t>
  </si>
  <si>
    <t>5" 74IHH3H 300# DI/316/316/BN/316 SC</t>
  </si>
  <si>
    <t>6" 752 CI 250# W/5/32"PF; 40ML SS SCN</t>
  </si>
  <si>
    <t>10" 691M/692M MALE UPRSFT 1-1/2" DIA X 25-3/16</t>
  </si>
  <si>
    <t>2-1/2" 125FCI 125# W/5/32" PF; 40ML SS BSK</t>
  </si>
  <si>
    <t>1/2" 782CS 300# W/5/32"PF; 40ML SS SCN</t>
  </si>
  <si>
    <t>.033" PF; 60ML 316SS SCN(1/2" 861/862 Y STR)</t>
  </si>
  <si>
    <t>3" 251DI 300# W/5/32" PF; 40ML SS SCN</t>
  </si>
  <si>
    <t>6" 74HHH3W 300# 316/316/316/BN/INC 600 SC</t>
  </si>
  <si>
    <t>6 250 1602-D CHX CI SFTBN</t>
  </si>
  <si>
    <t>4" 185SS 150# W/5/32" PF; 40ML SS BSK</t>
  </si>
  <si>
    <t>3" 125SS 200 PSI WOG W/5/32" PF; 100ML SS BSK</t>
  </si>
  <si>
    <t>1-1/4" 582CS 600# W/5/32" PF; 40ML SS SCN</t>
  </si>
  <si>
    <t>1-1/4" 792FDH CS 150# FLG W/1/16" PF SS BSK</t>
  </si>
  <si>
    <t>20" 758-N CI 125# FLG YSTR W/1/8" PF SS SCN</t>
  </si>
  <si>
    <t>24" 758-N CI 125# FLG YSTR W/1/8" PF SS SCN</t>
  </si>
  <si>
    <t>12" 74HHH3H 300# 316/316/316/BN/316/SC</t>
  </si>
  <si>
    <t>3  88IHH65 DI/316S/316D/EPM/GO/BFV</t>
  </si>
  <si>
    <t>1-1/2" 781SSWE 150# W/5/32" PF; 100ML SS SCN</t>
  </si>
  <si>
    <t>5/32" PF; 40ML SS SCN (4" 11BC Y STR)</t>
  </si>
  <si>
    <t>4" 11BC CI 250# W/5/32"PF; 40ML SS SCN</t>
  </si>
  <si>
    <t>2" 186CS 300# W/5/32"PF; 40ML SS BSK</t>
  </si>
  <si>
    <t>1-1/4" 864MCS 1500# SWY STR</t>
  </si>
  <si>
    <t>2-1/2" 764CS 600# W/5/32" PF; 40ML SS SCN</t>
  </si>
  <si>
    <t>6" 185CS 150# W/5/32" PF; 100ML SS BSK</t>
  </si>
  <si>
    <t>2" 71AHH3H-N 125# CI/316/316/316/BN/316 SC</t>
  </si>
  <si>
    <t>2-1/2" 71AHH3H-N 125# CI/316/316/BN/316 SC</t>
  </si>
  <si>
    <t>3" 71AHH3H-N 125# CI/316/316/BN/316 SC</t>
  </si>
  <si>
    <t>4" 71AHH3H-N 125# CI/316/316/BN/316 SC</t>
  </si>
  <si>
    <t>5  71AHH3H-N 125# CI/316/316/BN/316 SC</t>
  </si>
  <si>
    <t>6" 71AHH3H-N 125# CI/316/316/BN/316 SC</t>
  </si>
  <si>
    <t>8" 71AHH3H-N 125# CI/316/316/BN/316 SC</t>
  </si>
  <si>
    <t>10" 71AHH3H-N 125# CI/316/316/BN/316 SC</t>
  </si>
  <si>
    <t>12" 71AHH3H-N 125# CI/316/316/BN/316 SC</t>
  </si>
  <si>
    <t>1/2" 125CS 200 PSI WOGW/5/32" PF; 100ML SS BS</t>
  </si>
  <si>
    <t>2-1/2" 781CSWE 150# W/1/8" PF; 40ML SS SCN</t>
  </si>
  <si>
    <t>2" X 2" 1011G DI SUC DIFF W/150# FLG OUTL GRVD I</t>
  </si>
  <si>
    <t>8" 126FCS 300# FLG BSKSTR W/1/8" PF SS BSK</t>
  </si>
  <si>
    <t>5/32" PF; 100ML SS BSK(10" 155M/165 BSK STR)</t>
  </si>
  <si>
    <t>10" 155M CI 125# W/5/32"PF; 100ML SS BSK</t>
  </si>
  <si>
    <t>2  105MAT-N CI 125# FLGSLNT GLB CV W/316SS</t>
  </si>
  <si>
    <t>2-1/2  105MAT-N CI 125#FLG SLNT GLB CV W/316SS</t>
  </si>
  <si>
    <t>3  105MAT-N CI 125# FLGSLNT GLB CV W/316SS TRM</t>
  </si>
  <si>
    <t>4  105MAT-N CI 125# FLGSLNT GLB CV W/316SS TRM</t>
  </si>
  <si>
    <t>5" 105MAT-N CI 125# FLGSLNT GLB CV W/316SS TRIM</t>
  </si>
  <si>
    <t>6  105MAT-N CI 125# FLGSLNT GLB CV W/316SS TRM</t>
  </si>
  <si>
    <t>8  105MAT-N CI 125# FLGSLNT GLB CB W/316SS TRM</t>
  </si>
  <si>
    <t>10  105MAT-N CI 125# FLGSLNT GLB CV W/316SS TRM</t>
  </si>
  <si>
    <t>12  105MAT-N CI 125# FLGSLNT GLB CV W/316SS TRM</t>
  </si>
  <si>
    <t>2  91AT-N CI CMPT WFR SLNT CV W/316SS TRIM</t>
  </si>
  <si>
    <t>2-1/2  91AT-N CI CMPT WFR SLNT CV W/316SS TRIM</t>
  </si>
  <si>
    <t>3  91AT-N CI CMPT WFR SLNT CV W/316SS TRIM</t>
  </si>
  <si>
    <t>4  91AT-N CI CMPT WFR SLNT CV W/316SS TRIM</t>
  </si>
  <si>
    <t>5  91AT-N CI CPMT WFR SLNT CV W/316SS TRIM</t>
  </si>
  <si>
    <t>6  91AT-N CI CPMT WFR SLNT CV W/316SS TRIM</t>
  </si>
  <si>
    <t>8  92AT-N CI CPMT WFR SLNT CV W/316SS TRIM</t>
  </si>
  <si>
    <t>10  92AT-N CI CMPT WFRSLNT CV W/316SS TRIM</t>
  </si>
  <si>
    <t>12  92AT-N CI CMPT WFRSLNT CV W/316SS TRIM</t>
  </si>
  <si>
    <t>4" 103MAT CI 250# FLGDSLNT WFR CV W/316SS TRM</t>
  </si>
  <si>
    <t>8" 155M CI 125# W/5/32"PF; 40ML SS BSK</t>
  </si>
  <si>
    <t>2" 155M CI 125# W/5/32"PF; 100ML SS BSK</t>
  </si>
  <si>
    <t>1/16" PF; 100ML SS BSK(2" 125/126 BSK STR)_</t>
  </si>
  <si>
    <t>6" 125FCS 150# W/5/32"PF; 40ML SS,VTN ORGS</t>
  </si>
  <si>
    <t>5/32" PF; 100ML SS BSK(12" 185/186 BSK STR)</t>
  </si>
  <si>
    <t>1-1/4" 782CS 300# W/5/32" PF; 100ML SS SCN</t>
  </si>
  <si>
    <t>5/32" PF; 60ML SS BSK(12" 185/186 BSK STR)</t>
  </si>
  <si>
    <t>5/32" PF; 100ML SS SCN(5" 751/752 Y STR)</t>
  </si>
  <si>
    <t>3" 792SDH 150# W/1/16"PF SS BSK</t>
  </si>
  <si>
    <t>2" 721-N CI 125# FLG TRIPLE FCTN CNTRL CV</t>
  </si>
  <si>
    <t>2-1/2" 721-N CI 125# FLGTRPL FCTN CNTRL CV</t>
  </si>
  <si>
    <t>3" 721-N CI 125# FLG TRPL FCTN CNTRL CV</t>
  </si>
  <si>
    <t>4" 721-N CI 125# FLG TRPL FCTN CNTRL CV</t>
  </si>
  <si>
    <t>5" 721-N CI 125# FLG TRPL FCTN CNTRL CV</t>
  </si>
  <si>
    <t>6" 721-N CI 125# FLG TRPL FCTN CNTRL CV</t>
  </si>
  <si>
    <t>8" 721-N CI 125# FLG TRPL FCTN CNTRL CV</t>
  </si>
  <si>
    <t>10" 721-N CI 125# FLG TRPL FCTN CNTRL CV</t>
  </si>
  <si>
    <t>12" 721-N CI 125# FLG TRPL FCTN CNTRL CV</t>
  </si>
  <si>
    <t>14" 721-N CI 125# FLG TRPL FCTN CNTRL CV</t>
  </si>
  <si>
    <t>2-1/2" 781SS 150# W/5/32" PF; 100ML SS SCN</t>
  </si>
  <si>
    <t>1/16" PF; 100ML SS BSK(3" 125/126 BSK STR)</t>
  </si>
  <si>
    <t>6" 155M CI 125# W/1/8"PF; 40ML SS BSK</t>
  </si>
  <si>
    <t>1/4" LF351-N SLCN BRZ W/20 MSH SS SCN</t>
  </si>
  <si>
    <t>3/8" LF351-N SLCN BRZW/20 MSH SS SCN</t>
  </si>
  <si>
    <t>1/2" LF351-N SLCN BRZ W/20 MSH SS SCN</t>
  </si>
  <si>
    <t>3/4" LF351-N SLCN BRZW/20 MSH SS SCN</t>
  </si>
  <si>
    <t>1" LF351-N SLCN BRZ W/20MSH SS SCN</t>
  </si>
  <si>
    <t>1-1/4" LF351-N SLCN BRZW/20 MSH SS SCN</t>
  </si>
  <si>
    <t>1-1/2" LF351-N SLCN BRZW/20 MSH SS SCN</t>
  </si>
  <si>
    <t>2" LF351-N SLCN BRZ W/20MSH SS SCN</t>
  </si>
  <si>
    <t>2-1/2" LF351-N SLCN BRZW/1/16" PF SS SCN</t>
  </si>
  <si>
    <t>3" LF351-N SLCN BRZ W/1/16" PF SS SCN</t>
  </si>
  <si>
    <t>1/2" LF352-N SLCN BRZ W/20 MSH SS SCN</t>
  </si>
  <si>
    <t>3/4" LF352-N SLCN BRZ W/20 MSH SS SCN</t>
  </si>
  <si>
    <t>1" LF352-N SLCN BRZ W/20MSH SS SCN</t>
  </si>
  <si>
    <t>1-1/4" LF352-N SLCN BRZW/20 MSH SS SCN</t>
  </si>
  <si>
    <t>1-1/2" LF352-N SLCN BRZW/20 MSH SS SCN</t>
  </si>
  <si>
    <t>2" LF352-N SLCN BRZ W/20MSH SS SCN</t>
  </si>
  <si>
    <t>2-1/2" LF352-N SLCN BRZW/1/16" PF SS SCN</t>
  </si>
  <si>
    <t>3" LF352-N SLCN BRZ W/1/16" PF SS SCN</t>
  </si>
  <si>
    <t>1/2" LF358S-N SLCN BRZW/20 MSH SS SCN</t>
  </si>
  <si>
    <t>3/4" LF358S-N SLCN BRZW/20 MSH SS SCN</t>
  </si>
  <si>
    <t>1" LF358S-N SLCN BRZ W/20 MSH SS SCN</t>
  </si>
  <si>
    <t>1-1/4" LF358S-N SLCN BRZW/20 MSH SS SCN</t>
  </si>
  <si>
    <t>1-1/2" LF358S-N SLCN BRZW/20 MSH SS SCN</t>
  </si>
  <si>
    <t>2" LF358S-N SLCN BRZ W/20 MSH SS SCN</t>
  </si>
  <si>
    <t>2-1/2  LF358S-N SLCN BRZW/1/16  PF SS SCN</t>
  </si>
  <si>
    <t>3" LF358S-N SLCN BRZW/1/16" PF SS SCN</t>
  </si>
  <si>
    <t>6" 125FCI-N 125# W/1/8"PF SS BSK</t>
  </si>
  <si>
    <t>1-1/2" 758 CI 125# W/5/32" PF; 100ML SS SCN</t>
  </si>
  <si>
    <t>1" 781SSWE 150# W/5/32"PF; 100ML SS SCN</t>
  </si>
  <si>
    <t>8" 782SS 300# W/1/8" PFSS SCN</t>
  </si>
  <si>
    <t>15/16"X1-3/8" X 1/8" 304SS &amp; FLXCB SP (DMC)(SIN)</t>
  </si>
  <si>
    <t>1-5/32"X 1-11/16" X 1/8"FLXCB SP(DMC)</t>
  </si>
  <si>
    <t>1-5/8" X 2-1/16" X 1/8"304SS &amp; FLXCB SP(DMC)</t>
  </si>
  <si>
    <t>10 300 1603-AC CXH CSSFT</t>
  </si>
  <si>
    <t>1-1/4" LF351 SLCN BRZW/20 MSH SS SCN</t>
  </si>
  <si>
    <t>2-1/2" LF358S SLCN BRZW/1/16" PF SS SCN</t>
  </si>
  <si>
    <t>24" 72IHH3H 150# DI/316/316/BN/316 SC</t>
  </si>
  <si>
    <t>18" 72IHH3H 150# DI/316/316/BN/316 SC</t>
  </si>
  <si>
    <t>3 LF358 SLCN BRZ W/1/16"PF SS SCN</t>
  </si>
  <si>
    <t>1/2" LF351 SLCN BRZ W/5/32" PF; 40ML SS SCN</t>
  </si>
  <si>
    <t>3/8" LF352 SLCN BRZ W/20MSH SS SCN</t>
  </si>
  <si>
    <t>1-1/2" 125FCI (-N) 125#FLG BSK STR</t>
  </si>
  <si>
    <t>1/4" 862CS 600# W/.033"PF SS SCN</t>
  </si>
  <si>
    <t>5/32" PF; 100ML 316SSSCN (3/4" 251 Y STR)</t>
  </si>
  <si>
    <t>3/8" LF351 SLCN BRZ W/20MSH SS SCN</t>
  </si>
  <si>
    <t>5/32" PF; 60ML SS STRTUP SCN (1-1/2" 351M/352M</t>
  </si>
  <si>
    <t>4" 125FCS 150# W/5/32"PF; 40ML SS BSK</t>
  </si>
  <si>
    <t>2-1/2" 107MAT 250# FLGSLNT GLB CV W/316SS TRI</t>
  </si>
  <si>
    <t>1" 794SDH 300# W/1/16"PF SS BSK</t>
  </si>
  <si>
    <t>2" LF351 SLCN BRZ W/5/32" PF; 100ML SS SCN</t>
  </si>
  <si>
    <t>3" 125FCI-N 125# W/1/16"PF SS BSK</t>
  </si>
  <si>
    <t>1-1/2" LF351 SLCN BRZW/5/32 PF 40 ML SS</t>
  </si>
  <si>
    <t>2-1/2  LF351 SLCN BRZW/5/32  PF;20ML SCN</t>
  </si>
  <si>
    <t>2" LF352 LEAD FREE BRZW/5/32" PF; 100ML SS</t>
  </si>
  <si>
    <t>1-1/2" 125FCI 125# W/5/32" PF; 100ML SS BSK</t>
  </si>
  <si>
    <t>1" 782SS 300# W/ 5/32"PF; 100ML SS SCN (SIN)</t>
  </si>
  <si>
    <t>2" LF352 LEAD FREE BRZW/5/32" PF; 40ML SS S</t>
  </si>
  <si>
    <t>3/4" LF352 LEAD FREE W/5/32" PF; 100ML SS</t>
  </si>
  <si>
    <t>1-1/4" 251 DI 300# W/5/32" PF; 100ML SS SCN</t>
  </si>
  <si>
    <t>5/32" PF; 80ML SS SCN(6" 751/752 Y STR)</t>
  </si>
  <si>
    <t>1" LF352 SLCN BRZ W/5/32" PF; 100ML SS</t>
  </si>
  <si>
    <t>5" 105MAT CI 125# FLG SLNT GLB CV W/316SS TRIM</t>
  </si>
  <si>
    <t>1/2" LF352 SLCN BRZ W/5/32" PF; 40ML SS SCN</t>
  </si>
  <si>
    <t>1" LF352 SLCN BRZ W/5/32" PF; 40ML SS SCN</t>
  </si>
  <si>
    <t>1-1/2" LF352 SLCN BRZ W/5/32" PF; 40ML SS SCN</t>
  </si>
  <si>
    <t>1" LF351 SLCN BRZ W/5/32" PF; 100ML SS SCN</t>
  </si>
  <si>
    <t>10" 782SS 300# W/1/8" PFSS SCN</t>
  </si>
  <si>
    <t>5/32" PF; 60 MSH LND SSSCN (2" FLG Y-STR)</t>
  </si>
  <si>
    <t>5/32" PF; 40ML SS SCN(2-1/2" 751/752)</t>
  </si>
  <si>
    <t>2-1/2" 752CI 250# W/5/32" PF; 40ML SS SCN</t>
  </si>
  <si>
    <t>5/32" PF; 80 MSH LND SSSCN (2-1/2" 751/752)</t>
  </si>
  <si>
    <t>5" 758 CI 125# W/5/32"PF; 100ML SS SCN</t>
  </si>
  <si>
    <t>1/4" LF351 SLCN BRZ W/5/32" PF; 20ML SS SCN</t>
  </si>
  <si>
    <t>1/4" LF351 SLCN BRZ W/5/32" PF; 40ML SS SCN</t>
  </si>
  <si>
    <t>1/4" LF351 SLCN BRZ W/5/32" PF; 100ML SS</t>
  </si>
  <si>
    <t>3/8" LF351 SLCN BRZ W/5/32" PF; 40ML SS SCN</t>
  </si>
  <si>
    <t>3/8" LF351 SLCN BRZ W/5/32" PF; 100ML SS SC</t>
  </si>
  <si>
    <t>1/2" LF358S SLCN BRZ W/5/32" PF; 40ML SS</t>
  </si>
  <si>
    <t>1/2" LF358S SLCN BRZ W/5/32" PF; 100ML SS</t>
  </si>
  <si>
    <t>3/4" LF358S SLCN BRZ W/5/32" PF; 40ML SS SCN</t>
  </si>
  <si>
    <t>3/4" LF358S SLCN BRZ W/5/32" PF; 100ML SS SCN</t>
  </si>
  <si>
    <t>1/2" LF351 SLCN BRZ W/5/32" PF; 20ML SS SCN</t>
  </si>
  <si>
    <t>1/2" LF351 SLCN BRZ W/5/32" PF; 100ML SS SCN</t>
  </si>
  <si>
    <t>3/4" LF351 SLCN BRZ W/5/32" PF; 20ML SS SCN</t>
  </si>
  <si>
    <t>3/4" LF351 SLCN BRZ W/5/32" PF; 40ML SS SCN</t>
  </si>
  <si>
    <t>3/4" LF351 SLCN BRZ W/5/32" PF; 100ML SS SCN</t>
  </si>
  <si>
    <t>1" LF358S SLCN BRZ W/5/32" PF; 40ML SS SCN</t>
  </si>
  <si>
    <t>1" LF358S SLCN BRZ W/5/32" PF; 100ML SS</t>
  </si>
  <si>
    <t>1" LF351 SLCN BRZ W/5/32" PF; 20ML SS SCN</t>
  </si>
  <si>
    <t>1" LF351 SLCN BRZ W/5/32" PF; 40ML SS SCN</t>
  </si>
  <si>
    <t>1-1/4" LF358S SLCN BRZW/5/32" PF; 40ML SS SCN</t>
  </si>
  <si>
    <t>1-1/4" LF358S SLCN BRZW/5/32" PF; 100ML SS SC</t>
  </si>
  <si>
    <t>1-1/2" LF358S SLCN BRZW/5/32" PF; 40ML SS SCN</t>
  </si>
  <si>
    <t>1-1/2" LF358S SLCN BRZW/5/32" PF; 100ML SS SCN</t>
  </si>
  <si>
    <t>1-1/4" LF351 SLCN BRZW/5/32" PF; 40ML SS S</t>
  </si>
  <si>
    <t>1-1/2" LF351 SLCN BRZ W/5/32" PF; 20ML SS SCN</t>
  </si>
  <si>
    <t>1-1/2" LF351 SLCN BRZ W/5/32" PF; 100ML SS SCN</t>
  </si>
  <si>
    <t>2" 782SSWE 300# W/1/16"PF SS SCN</t>
  </si>
  <si>
    <t>2" LF351 SLCN BRZ W/5/32" PF; 40ML SS SCN</t>
  </si>
  <si>
    <t>12" 74IHH3H 300# DI/316/316/BN/316 SC</t>
  </si>
  <si>
    <t>5/32" PF; 60ML 316SS BSK(10" 185/186 BSK STR)</t>
  </si>
  <si>
    <t>3/4" LF352 SLCN BRZ W/5/32" PF; 40ML SS SCN</t>
  </si>
  <si>
    <t>2" LF351 SLCN BRZ W/5/32" PF; 20ML SS SCN</t>
  </si>
  <si>
    <t>3" LF351 SLCN BRZ W/5/32" PF; 20ML SS SCN</t>
  </si>
  <si>
    <t>4" 74IHH3H 300# DI/316/316/BN/316/SC</t>
  </si>
  <si>
    <t>3/8" LF352 SLCN BRZ W/5/32" PF; 40ML SS SCN</t>
  </si>
  <si>
    <t>3/8" LF352 SLCN BRZ W/5/32" PF; 100ML SS SCN</t>
  </si>
  <si>
    <t>3/8" LF352-N SLCN BRZ W/20 MSH SS SCN</t>
  </si>
  <si>
    <t>8" 782CSWE 300# W/1/8"PF SS SCN</t>
  </si>
  <si>
    <t>1-1/4" 101MAT 150# FLGSLNT WFR CV W/316SS TRI</t>
  </si>
  <si>
    <t>4" 11MBC-N 250# W/1/16"PF SS SCN</t>
  </si>
  <si>
    <t>6" 761/762 FLG &amp; W/E CSPLT CVR W/GALV (OSV)</t>
  </si>
  <si>
    <t>3/4" 781SSWE 150# W/5/32" PF; 40ML SS SCN</t>
  </si>
  <si>
    <t>1-1/2" LF352 SLCN BRZW/5/32" PF; 100ML SS</t>
  </si>
  <si>
    <t>3/4" 764CS 600# W/5/32"PF; 40ML SS SCN</t>
  </si>
  <si>
    <t>1/2" LF352 SLCN BRZ W/5/32" PF; 100ML SS SC</t>
  </si>
  <si>
    <t>3/4" 782SSWE 300# W/1/16" PF SS SCN</t>
  </si>
  <si>
    <t>2-1/2" 125FCS 150# W/5/32" PF; 100ML SS BSK</t>
  </si>
  <si>
    <t>1-1/4" 792FHH 150# W/1/16" PF SS BSK</t>
  </si>
  <si>
    <t>16" 781CS 150# W/5/32" PF; 40ML SS SCN</t>
  </si>
  <si>
    <t>1-1/4" LF352 SLCN BRZW/5/32" PF; 100ML SS</t>
  </si>
  <si>
    <t>14" 105MAT-N CI 125# FLGD SLNT GLB CV W/316SS</t>
  </si>
  <si>
    <t>12" 92AT CI CMPT WFR SLNT CV W/316SS TRIM</t>
  </si>
  <si>
    <t>2" 125FCI 125# (-N) W/1/16" PF SS BSK</t>
  </si>
  <si>
    <t>ORG KIT BN 4/369-4/122-2/218-2/380  (8" 690)</t>
  </si>
  <si>
    <t>ORG KIT BN 4/457-4/122-2/218-2/386 (14" 690)</t>
  </si>
  <si>
    <t>ORG KIT BN 4/381-4/122-2/218-2/384 (12" 690)</t>
  </si>
  <si>
    <t>ORG KIT BN 4/378-4/122-2/218-2/382 (10" 690)</t>
  </si>
  <si>
    <t>3" 74IHH3H 300# DI/316/316/BN/316/SC</t>
  </si>
  <si>
    <t>6" 71AHH3W 125# CI/316/316/BN/INC 600/SC</t>
  </si>
  <si>
    <t>10" 752 CI 250# W/5/32"PF; 40ML SS SCN</t>
  </si>
  <si>
    <t>5/32" PF; 60ML SS BSK(10" 125/126 BSK STR)</t>
  </si>
  <si>
    <t>2" 72IHH3W 150# DI/316/316/BN/INC 600 SC</t>
  </si>
  <si>
    <t>8" 74IHH3H 300# DI/316/316/BN/316 SC</t>
  </si>
  <si>
    <t>12" 781CS 150# W/5/32"PF; 40ML SS SCN</t>
  </si>
  <si>
    <t>2-1/2" LF352 SLCN BRZW/5/32" PF; 100ML SS SCN</t>
  </si>
  <si>
    <t>14" 74IHH3H 300# DI/316/316/ BN 316 SC</t>
  </si>
  <si>
    <t>12" 186CS 300# W/5/32"PF; 40ML SS SCN</t>
  </si>
  <si>
    <t>18" 105MAT CI 125# FLGDSLNT GLB CV W/316SS TRIM</t>
  </si>
  <si>
    <t>1-1/2" 103MAT CI 250# FLGD SLNT WFR CV W/SS TRIM</t>
  </si>
  <si>
    <t>2" LF358S SLCN BRZ W/5/32" PF; 40ML SS SCN</t>
  </si>
  <si>
    <t>3/4" 794SDH 300# W/1/16"PF SS BSK</t>
  </si>
  <si>
    <t>4" 782SS 300# W/5/32" PF; 100ML SS SCN</t>
  </si>
  <si>
    <t>1-1/2" 782SS 300# W/5/32" PF; 100ML SS SCN</t>
  </si>
  <si>
    <t>1/16" PF; 100ML SS BSK(1/2" 3/4"  125/126)</t>
  </si>
  <si>
    <t>1" 101MAT CI 125# FLGD SLNT WFR CV W/316SS TRIM</t>
  </si>
  <si>
    <t>12" 782SS 300# W/1/8" PFSS SCN</t>
  </si>
  <si>
    <t>10" 185SS 150# W/1/8" PFSS BSK</t>
  </si>
  <si>
    <t>HNG PIN 16 125-150 SPRLOAD MTL SEAT 416 (OSV)</t>
  </si>
  <si>
    <t>6" 125FCI 125# W/5/32"PF; 100ML SS BSK</t>
  </si>
  <si>
    <t>6" 782SS 300# W/5/32" PF; 40ML MNL SCN</t>
  </si>
  <si>
    <t>1-1/4" 125CI-N 125# W/1/1/16" PF SS BSK</t>
  </si>
  <si>
    <t>1-1/4" 125CS 200 PSI W/1/16" PF; 40ML SS BSK</t>
  </si>
  <si>
    <t>1/2" 781CSWE 150# W/1/16" PF SS SCN</t>
  </si>
  <si>
    <t>5/32" PF; 60ML SS SCN(20" 758/781/782)</t>
  </si>
  <si>
    <t>1" 581CS 600# W/3/32" PF; 40ML SS SCN</t>
  </si>
  <si>
    <t>5" 752CI 250# W/5/32" PF; 100ML SS SCN</t>
  </si>
  <si>
    <t>8" 185CS 150# W/5/32" PF; 40ML SS BSK</t>
  </si>
  <si>
    <t>5/32" PF; 60ML SS SCN(1" 251 Y-STR)</t>
  </si>
  <si>
    <t>8" 72DHH3W 150#CS/316/316/BN/INC</t>
  </si>
  <si>
    <t>1" 103MAT CI 250# FLGDSLNT WFR CV W/316SS TRIM</t>
  </si>
  <si>
    <t>20" 105MAT CI 125# FLGDSLNT GLB CV W/ SS TRIM</t>
  </si>
  <si>
    <t>1-1/2" LF352 SLCN BRZ W/5/32" PF; 20ML SS SCN</t>
  </si>
  <si>
    <t>1-1/4" LF352 SLCN BRZ W/5/32" PF; 40ML SS SCN</t>
  </si>
  <si>
    <t>2" LF352 SLCN BRZ W/5/32"PF 80 MSH LN SS SCN</t>
  </si>
  <si>
    <t>2-1/2" LF352 SLCN BRZ W/5/32"PF 40 MSH LN SS SCN</t>
  </si>
  <si>
    <t>3" LF352 SLCN BRZ W/5/32"PF 40 MSH LN SS SCN</t>
  </si>
  <si>
    <t>3" LF352 SLCN BRZ W/5/32"PF 100MSH LN SS SCN</t>
  </si>
  <si>
    <t>2" LF358S SLCN BRZ W/5/32"PF 100MSH LN SS SCN</t>
  </si>
  <si>
    <t>18" 758-N CI 125# W/1/8"PF SS SCN</t>
  </si>
  <si>
    <t>3" 125FSS 150# W/5/32"PF; 40ML SS BSK</t>
  </si>
  <si>
    <t>5" 781CS 150# W/5/32"PF; 40ML SS SCN</t>
  </si>
  <si>
    <t>5" 781CS 150# W/5/32" PF; 100ML SS SCN</t>
  </si>
  <si>
    <t>1/2  125CI 125# W/5/32PF; 100ML SS BSK</t>
  </si>
  <si>
    <t>3/4  125CI 125# W/5/32PF; 40ML SS BSK</t>
  </si>
  <si>
    <t>1-1/4  125CI 125# W/5/32  PF; 100ML SS BSK</t>
  </si>
  <si>
    <t>5/32" PF; 60ML SS BSK(1-1/4" 125/126)</t>
  </si>
  <si>
    <t>1-1/2  125CI 125# W/5/32  PF; 100ML SS BSK</t>
  </si>
  <si>
    <t>2-1/2  125CI 125# W/5/32  PF; 40ML SS BSK</t>
  </si>
  <si>
    <t>2-1/2  125CI 125# W/5/32  PF; 100ML SS BSK</t>
  </si>
  <si>
    <t>3  125CI 125# W/5/32PF; 100ML SS BSK</t>
  </si>
  <si>
    <t>1/4" 581CS 600# W/5/32"PF; 40ML SS SCN</t>
  </si>
  <si>
    <t>3/8" 581CS 600# W/5/32"PF; 100ML SS SCN</t>
  </si>
  <si>
    <t>2-1/2" 125FCI 125# W/5/32" PF; 100ML SS BSK</t>
  </si>
  <si>
    <t>2-1/2" 125FCI-N 125# W/1/16" PF SS BSK</t>
  </si>
  <si>
    <t>3" 782SS 300# W/5/32" PF; 40ML SS SCN</t>
  </si>
  <si>
    <t>5" 782CS 300# W/ 5/32"PF. 100 ML SS CN</t>
  </si>
  <si>
    <t>5" 781SS 150# W/5/32" PF; 40ML SS SCN</t>
  </si>
  <si>
    <t>18" 107MAT CI 250# FLGDSLNT GLB CV W/316SS TRIM</t>
  </si>
  <si>
    <t>2  155M CI 125# W/5/32PF; 40ML SS BSK</t>
  </si>
  <si>
    <t>2-1/2" 155M CI W/5/32"F; 40ML SS BSK</t>
  </si>
  <si>
    <t>2-1/2" 155M CI W/5/32"F; 100ML SS BSK</t>
  </si>
  <si>
    <t>5/32" PF; 100ML SS BSK(2-1/2" 155M/165 BSK ST</t>
  </si>
  <si>
    <t>2-1/2" 782SS 300# W/5/32" PF; 40ML SS SCN</t>
  </si>
  <si>
    <t>2-1/2" 782SS 300# W/5/32" PF; 100ML SS SCN</t>
  </si>
  <si>
    <t>5" 782SS 300# W/1/8" PFSS SCN</t>
  </si>
  <si>
    <t>5" 782SS 300# W/5/32" PF; 40ML SS SCN</t>
  </si>
  <si>
    <t>5" 782SS 300# W/5/32"PF,100 ML SS SCN</t>
  </si>
  <si>
    <t>4  155M 125# W/5/32PF; 40ML SS BSK</t>
  </si>
  <si>
    <t>5" 155M 125# W/5/32" PF;40ML SS BSK</t>
  </si>
  <si>
    <t>5/32" PF; 40ML SS BSK(5" 155M/165 BSK STR)</t>
  </si>
  <si>
    <t>5/32" PF; 60ML SS BSK(5" 155M/165 BSK STR)</t>
  </si>
  <si>
    <t>5/32" PF; 100ML SS BSK(5" 155M/165 BSK STR)</t>
  </si>
  <si>
    <t>5" 155M 125# W/5/32" PF;100ML SS BSK</t>
  </si>
  <si>
    <t>2" 185CS-N 150# W/1/16"PF SS BSK</t>
  </si>
  <si>
    <t>2" 165CI 125# W/5/32" PF; 100ML SS BSK</t>
  </si>
  <si>
    <t>2-1/2" 165CI 125# W/5/32" PF; 40ML SS BSK</t>
  </si>
  <si>
    <t>2-1/2" 165CI 125# W/5/32" PF; 100ML SS BSK</t>
  </si>
  <si>
    <t>3" 165CI 125# W/5/32" PF; 100ML SS BSK</t>
  </si>
  <si>
    <t>4" 165CI 125# W/5/32" PF; 100ML SS BSK</t>
  </si>
  <si>
    <t>5" 165CI 125# W/5/32" PF; 40ML SS BSK</t>
  </si>
  <si>
    <t>5" 165CI 125# W/5/32" PF; 100ML SS BSK</t>
  </si>
  <si>
    <t>1-1/2" 185CS-N 150# W/1/16" PF SS BSK</t>
  </si>
  <si>
    <t>5" 185CS-N 150# W/1/8"PF SS BSK</t>
  </si>
  <si>
    <t>6" 185CS-N 150# W/1/8"PF SS BSK</t>
  </si>
  <si>
    <t>8" 185CS-N 150# W/1/8"PF SS BSK</t>
  </si>
  <si>
    <t>10" 185CS-N 150# W/1/8"PF SS BSK</t>
  </si>
  <si>
    <t>12" 185CS-N 150# W/1/8"PF SS BSK</t>
  </si>
  <si>
    <t>3/8" 582SS 600# W/5/32"PF; 40ML SS SCN</t>
  </si>
  <si>
    <t>3/8" 582SS 600# W/5/32"PF; 100ML SS SCN</t>
  </si>
  <si>
    <t>3/8" 582SS-N 600# W/1/16" PF SS SCN</t>
  </si>
  <si>
    <t>1-1/4" 582SS 600# W/5/32" PF; 40ML SS SCN</t>
  </si>
  <si>
    <t>1-1/2" 582SS-N 600# W/5/32" PF; 40ML SS SCN</t>
  </si>
  <si>
    <t>1" 125FCI-N 125# W/1/16"PF SS BSK</t>
  </si>
  <si>
    <t>1-1/4" 125FCI-N 125# W/1/16" PF SS BSK</t>
  </si>
  <si>
    <t>4" 125FCI-N 125# W/1/16"PF SS BSK</t>
  </si>
  <si>
    <t>5" 125FCI-N 125# W/1/8"PF SS BSK</t>
  </si>
  <si>
    <t>8" 125FCI-N 125# W/1/8"PF SS BSK</t>
  </si>
  <si>
    <t>10" 125FCI-N 125# W/1/8" PF SS BSK</t>
  </si>
  <si>
    <t>2-1/2" 792SDH 150# W/1/16" PF SS BSK</t>
  </si>
  <si>
    <t>8" 71AHH3W 125# CI/316/316/BN/INC 600/SC</t>
  </si>
  <si>
    <t>6" 74IHH3H 300# DI/316/316/BN/316 SC</t>
  </si>
  <si>
    <t>3/4" &amp; 1" KIT FOR 790 SERIES SEATS &amp; SEALS,TFE</t>
  </si>
  <si>
    <t>1-1/4" &amp; 1-1/2" KIT FOR790 SERIES SEAT/SEAL,VTN</t>
  </si>
  <si>
    <t>1-1/4" &amp; 1-1/2" KIT FOR790 SERIES SEAT/SEAL,EPM</t>
  </si>
  <si>
    <t>1-1/4" &amp; 1-1/2" KIT FOR790 SERIES SEAT/SEAL,TFE</t>
  </si>
  <si>
    <t>TFE ENCP W/VTN &amp; KLRZ SFT ORG KIT(1-1/4" &amp; 1-1/2</t>
  </si>
  <si>
    <t>2" KIT FOR 790 SERIESSEATS &amp; SEAL,BN</t>
  </si>
  <si>
    <t>2" KIT FOR 790 SERIESSEATS &amp; SEALS, VTN</t>
  </si>
  <si>
    <t>2" KIT FOR 790 SERIESSEATS &amp; SEALS,EPM</t>
  </si>
  <si>
    <t>8" KIT FOR 691M CMPRSD GSKTS,BN SEALS, PCKG GLD</t>
  </si>
  <si>
    <t>10" KIT FOR 691M CMPRSDGSKTS,BN SEALS,PCKG GLD</t>
  </si>
  <si>
    <t>12" KIT FOR 691M CMPRSDGSKTS,BN SEALS,PCKG GLD</t>
  </si>
  <si>
    <t>14" KIT FOR 691M CMPRSDGSKTS,BN SEALS,PCKG GLD</t>
  </si>
  <si>
    <t>16" KIT FOR 691M CMPRSDGSKTS,BN SEALS,PCKG GLD</t>
  </si>
  <si>
    <t>1/4" 582SS 600# W/5/32"PF; 40ML SS SCN</t>
  </si>
  <si>
    <t>1/4" 582SS 600# W/5/32"PF; 100ML SS SCN</t>
  </si>
  <si>
    <t>1/4" 582SS-N 600# W/1/16" PF SS SCN</t>
  </si>
  <si>
    <t>TFE ENCP W/VTN &amp; KLRZSFT ORG KIT  (2" 790)</t>
  </si>
  <si>
    <t>2" KIT FOR 790 SERIESSEAT/SEAL TFE</t>
  </si>
  <si>
    <t>4" TFE ENCP W/VTN &amp; KLRZSFT ORG KIT(4" 790)</t>
  </si>
  <si>
    <t>2-1/2" &amp; 3" KIT FOR 790SERIES SEAT/SEAL,TFE</t>
  </si>
  <si>
    <t>4" KIT FOR 790 SERIESSEAT/SEAL,TFE</t>
  </si>
  <si>
    <t>TFE ENCP W/VTN &amp; KLRZSFT ORG KIT (5" &amp; 6")</t>
  </si>
  <si>
    <t>5" &amp; 6" KIT FOR 790 SERIES SEAT/SEAL,TFE</t>
  </si>
  <si>
    <t>4" KIT FOR 790 SERIESSEAT/SEAL,EPM</t>
  </si>
  <si>
    <t>4" KIT FOR 790 SERIESSEAT/SEAL,VTN</t>
  </si>
  <si>
    <t>5" &amp; 6" KIT FOR 790 SERIES SEAT/SEAL,VTN</t>
  </si>
  <si>
    <t>5/32" PF; 40ML SS SCN(5" 751/752 Y STR)</t>
  </si>
  <si>
    <t>5" 752CI 250# W/5/32" PF; 40ML SS SCN</t>
  </si>
  <si>
    <t>5/32" PF; 60ML SS SCN(5" 751/752 Y STR)</t>
  </si>
  <si>
    <t>8" KIT FOR 690M CMPRSD GSKTS, VTN SEAL, PCKG GLD</t>
  </si>
  <si>
    <t>10" KIT FOR 690M CMPRSDGSKTS,VTN SEALS,PCKG GLD</t>
  </si>
  <si>
    <t>12" KIT FOR 690M CMPRSDGSKTS,VTN SEALS,PCKG GLD</t>
  </si>
  <si>
    <t>14" KIT FOR 690M CMPRSDGSKTS,VTN SEALS,PCKG GLD</t>
  </si>
  <si>
    <t>16" KIT FOR 690M CMPRSDGSKTS,VTN SEALS,PCKG GLD</t>
  </si>
  <si>
    <t>8" KIT FOR 690M CMPRSD GSKTS,EPM SEALS,PCKG GLD</t>
  </si>
  <si>
    <t>10" KIT FOR 690M CMPRSDGSKTS,EPM SEALS,PCKG GLD</t>
  </si>
  <si>
    <t>12" KIT FOR 690M CMPRSDGSKTS,EPM SEALS,PCKG GLD</t>
  </si>
  <si>
    <t>14" KIT FOR 690M CMPRSDGSKTS,EPM SEALS,PCKG GLD</t>
  </si>
  <si>
    <t>16" KIT FOR 690M CMPRSDGSKTS,EPM SEALS,PCKG GLD</t>
  </si>
  <si>
    <t>2-1/2" LF351 SLCN BRZ W/5/32" PF;40ML SS SCN</t>
  </si>
  <si>
    <t>2-1/2" LF351 SLCN BRZ W/5/32" PF;100ML SS SCN</t>
  </si>
  <si>
    <t>3" LF351 SLCN BRZ W/5/32" PF 100ML SS SCN</t>
  </si>
  <si>
    <t>2-1/2" LF358S SLCN BRZW/5/32" PF; 40ML SS SCN</t>
  </si>
  <si>
    <t>2-1/2" LF358S SLCN BRZW/5/32" PF; 100ML SS</t>
  </si>
  <si>
    <t>3" LF351 SLCN BRZ W/5/32" PF;40ML SS SCN</t>
  </si>
  <si>
    <t>3" LF358S SLCN BRZ W/5/32" PF; 40ML SS SCN</t>
  </si>
  <si>
    <t>3" LF358S SLCN BRZ W/5/32" PF; 100ML SS SCN</t>
  </si>
  <si>
    <t>3" 781SSWE 150# W/5/32"PF; 40ML SS SCN</t>
  </si>
  <si>
    <t>2-1/2" 125SS 200 PSI W/5/32" PF; 100ML 316SS</t>
  </si>
  <si>
    <t>3/4" 782CSWE 300# W/5/32" PF; 40ML SS SCN</t>
  </si>
  <si>
    <t>8" 764CS 600# W/5/32" PF; 40ML SS SCN</t>
  </si>
  <si>
    <t>5/32" PF; 40ML SS SCN(1-1/2" 351/352 Y STR)</t>
  </si>
  <si>
    <t>12 600 1605-A CHX BNSL</t>
  </si>
  <si>
    <t>1" 781CS-N 150# W/1/16"PF SS SCN</t>
  </si>
  <si>
    <t>10" 781SS 150# W/5/32" PF; 40ML SS SCN</t>
  </si>
  <si>
    <t>5/32" PF; 100ML SS SCN (3" 251 Y STR)</t>
  </si>
  <si>
    <t>3" 251DI 300# W/5/32"PF; 100ML SS SCN</t>
  </si>
  <si>
    <t>1" 782SSWE 300# W/5/32"PF; 100ML SS SCN</t>
  </si>
  <si>
    <t>5/32" PF; 120ML SS SCN (8" 751/752 Y STR)</t>
  </si>
  <si>
    <t>4" 103MHT SS 300# FLGDSLNT WFF CV W/316SS TRIM</t>
  </si>
  <si>
    <t>16" 74IHH3H 300# DI/316/316/BN/316 SC</t>
  </si>
  <si>
    <t>1/8" PF; 60ML SS SCN (2"351M/352M/358 Y STR)</t>
  </si>
  <si>
    <t>3/4" 758 125# W/5/32" PF; 100ML SS SCN</t>
  </si>
  <si>
    <t>2-1/2" 103MHT 150# FLGGLB CHK VLV W/316 TRIM</t>
  </si>
  <si>
    <t>SEAT REPAIR KIT W/BN ORGKIT (3/4  &amp; 1  790)</t>
  </si>
  <si>
    <t>SEAT REPAIR KIT W/BN ORGKIT (1-1/4  &amp; 1-1/2 )</t>
  </si>
  <si>
    <t>SEAT REPAIR KIT W/BN ORGKIT (2-1/2" &amp; 3" 790)</t>
  </si>
  <si>
    <t>SEAT REPAIR KIT W/BN ORGKIT (4" 790)</t>
  </si>
  <si>
    <t>SEAT REPAIR KIT W/BN ORGKIT (5" &amp; 6" 790)</t>
  </si>
  <si>
    <t>SEAT REPAIR KIT W/EPM ORG KIT (3/4  &amp; 1  790)</t>
  </si>
  <si>
    <t>SEAT REPAIR KIT W/EPM ORG KIT (2-1/2" &amp; 3" 790)</t>
  </si>
  <si>
    <t>SEAT REPAIR KIT W/EPM ORG KIT (5" &amp; 6" 790)</t>
  </si>
  <si>
    <t>SEAT REPAIR KIT W/VTN ORG KIT (3/4  &amp; 1  790)</t>
  </si>
  <si>
    <t>SEAT REPAIR KIT W/VTN ORG KIT (2-1/2" &amp; 3" 790)</t>
  </si>
  <si>
    <t>4" 781SSWE 150# W/5/32"PF; 100ML SS SCN</t>
  </si>
  <si>
    <t>16" 72IHH3H 150# DI/316/316/BN/316 SC</t>
  </si>
  <si>
    <t>5/32" PF; 20ML SS SCN (10" 751/752 Y STR)</t>
  </si>
  <si>
    <t>10" 71AHH3W-N 125# CI/316/316/BN/INC 600 (CHINA)</t>
  </si>
  <si>
    <t>5/32" PF; 80ML SS SCN (1" 251 Y STR)</t>
  </si>
  <si>
    <t>8" 781SS 150# W/5/32" PF; 40ML SS SCN</t>
  </si>
  <si>
    <t>4" 125FSS 150# W/5/32" PF; 40ML SS BSK</t>
  </si>
  <si>
    <t>5/32" PF; 40ML SS STRTUPSCN (1-1/4" 351M/352M)</t>
  </si>
  <si>
    <t>5/32" PF; 100ML 316SS BSK (8" 185/186)</t>
  </si>
  <si>
    <t>1-1/2" 781CS-N 150# W/1/16" PF SS SCN</t>
  </si>
  <si>
    <t>5/32" PF; 40ML 316SS SCN(1/2" 251)</t>
  </si>
  <si>
    <t>1" 125FCS 150# W/1/8" PF; 100ML SS BSK</t>
  </si>
  <si>
    <t>1-1/4" 125FCS 150# W/5/32" PF; 40ML SS BSK</t>
  </si>
  <si>
    <t>14" 781SS-D 150# W/1/8"PF SS SCN</t>
  </si>
  <si>
    <t>5/32" PF; 40ML SS BSK(10" 125/126)</t>
  </si>
  <si>
    <t>10" 74IHH3H 300# DI/316/316/BN/316 SC</t>
  </si>
  <si>
    <t>5/32" PF; 60ML SS SCN(16" 781/782/758)</t>
  </si>
  <si>
    <t>3" 185SS-N 150# W/5/32"PF; 40ML 316SS BSK</t>
  </si>
  <si>
    <t>12" 1603-AC CS 300# W/SSH-SL/HSG,SS DSC,SS PIN</t>
  </si>
  <si>
    <t>2.5 90CHH85 CCS/630S/316D/RTFE SEAT GO HPBFV</t>
  </si>
  <si>
    <t>3  90CHH85 CCS/630S/316D/RTFE SEAT/GO HPBFV</t>
  </si>
  <si>
    <t>4  90CHH85 CCS/630S/316D/RTFE SEAT/GO HPBFV</t>
  </si>
  <si>
    <t>5  90CHH85 CCS/630S/316D/RTFE SEAT/GO HPBFV</t>
  </si>
  <si>
    <t>6  90CHH85 CCS/630S/316D/RTFE SEAT/GO HPBFV</t>
  </si>
  <si>
    <t>8  90CHH85 CCS/630S/316D/RTFE SEAT/GO HPBFV</t>
  </si>
  <si>
    <t>10 90CHH85 CCS/630S/316D/RTFE SEAT/GO HPBFV</t>
  </si>
  <si>
    <t>12 90CHH85 CCS/630S/316D/RTFE SEAT/GO HPBFV</t>
  </si>
  <si>
    <t>14 90CHH85 CCS/630S/316D/RTFE SEAT/GO HPBFV</t>
  </si>
  <si>
    <t>16 90CHH85 CSS/630S/316D/RTFE SEAT/GO HPBFV</t>
  </si>
  <si>
    <t>18 90CHH85 CCS/630S/316D/RTFE SEAT/GO  HPBFV</t>
  </si>
  <si>
    <t>20 90CHH85 CCS/630S/316D/RTFE SEAT  HPBFV</t>
  </si>
  <si>
    <t>24 90CHH85 CSS/630S/316D/RTFE SEAT/GO  HPBFV</t>
  </si>
  <si>
    <t>28 90CHH85 CSS/630S/316D/RTFE SEAT/GO HPBFV</t>
  </si>
  <si>
    <t>30 90CHH85 CCS/630S/316D/RTFE SEAT HPBFV</t>
  </si>
  <si>
    <t>32 90CHH85 CCS/630S/316D/RTFE SEAT/GO HPBFV</t>
  </si>
  <si>
    <t>36 90CHH85 CCS/630S/316D/RTFE SEAT/GO HPBFV</t>
  </si>
  <si>
    <t>40 90CHH85 CSS/630S/316D/RTFE SEAT/GO HPBFV</t>
  </si>
  <si>
    <t>12" 74HHHHW 300# 316/316/316/BN/INC/SC</t>
  </si>
  <si>
    <t>O-RNG .139 X 12.984 CS70BUNA-N</t>
  </si>
  <si>
    <t>1/8" PF; 60ML SS SCNSTARTUP (18" 758)</t>
  </si>
  <si>
    <t>16" 781SS 150# W/1/8 "PF SS SCN</t>
  </si>
  <si>
    <t>36  88IPH65 DI 431S/316D/ EPM  SEAT, GO BFV</t>
  </si>
  <si>
    <t>42  88IPH65 DI 431S/316D/ EPM  SEAT, GO BFV</t>
  </si>
  <si>
    <t>48  88IPH65 DI 431S/316D/ EPM  SEAT, GO BFV</t>
  </si>
  <si>
    <t>54  88IPH65 DI 431S/316D/ EPM  SEAT, GO BFV</t>
  </si>
  <si>
    <t>60  88IPH65 DI 431S/316D/ EPM  SEAT, GO BFV</t>
  </si>
  <si>
    <t>2.5 90CHH81 CCS/630S/316D/RTFE/10 POS HDL HPBFV</t>
  </si>
  <si>
    <t>3  90CHH81 CCS/630S/316D/RTFE/10 POS HDL HPBFV</t>
  </si>
  <si>
    <t>4  90CHH81 CCS/630S/316D/RTFE/10 POS HDL HPBFV</t>
  </si>
  <si>
    <t>CF**</t>
  </si>
  <si>
    <t>8" 692MFHH 150# W/40ML 316LSS,SP/WND BSK HSG GSK</t>
  </si>
  <si>
    <t>10" 692MFHH SS 150# W/1/8" PF SS BSK</t>
  </si>
  <si>
    <t>Link</t>
  </si>
  <si>
    <t>Return Home</t>
  </si>
  <si>
    <t>List Price</t>
  </si>
  <si>
    <t>C.F.</t>
  </si>
  <si>
    <t>758 &amp; 758-N</t>
  </si>
  <si>
    <t>11M &amp; 11M-N</t>
  </si>
  <si>
    <r>
      <rPr>
        <b/>
        <sz val="12"/>
        <color rgb="FF231F20"/>
        <rFont val="Arial"/>
        <family val="2"/>
      </rPr>
      <t>Class 125</t>
    </r>
  </si>
  <si>
    <r>
      <rPr>
        <b/>
        <sz val="12"/>
        <color rgb="FF231F20"/>
        <rFont val="Arial"/>
        <family val="2"/>
      </rPr>
      <t>Model 758</t>
    </r>
    <r>
      <rPr>
        <b/>
        <sz val="12"/>
        <rFont val="Arial"/>
        <family val="2"/>
      </rPr>
      <t>-N</t>
    </r>
  </si>
  <si>
    <t>752 &amp; 752-N</t>
  </si>
  <si>
    <t>LF351 &amp; LF351-N</t>
  </si>
  <si>
    <r>
      <rPr>
        <b/>
        <sz val="12"/>
        <color rgb="FF231F20"/>
        <rFont val="Arial"/>
        <family val="2"/>
      </rPr>
      <t>Model LF352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</si>
  <si>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LF358</t>
    </r>
    <r>
      <rPr>
        <b/>
        <sz val="12"/>
        <rFont val="Arial"/>
        <family val="2"/>
      </rPr>
      <t>-N</t>
    </r>
  </si>
  <si>
    <t>581CS &amp; 581CS-N</t>
  </si>
  <si>
    <t>582CS &amp; 582CS-N</t>
  </si>
  <si>
    <r>
      <rPr>
        <b/>
        <sz val="12"/>
        <color rgb="FF231F20"/>
        <rFont val="Arial"/>
        <family val="2"/>
      </rPr>
      <t>Model 782CS</t>
    </r>
    <r>
      <rPr>
        <b/>
        <sz val="12"/>
        <rFont val="Arial"/>
        <family val="2"/>
      </rPr>
      <t>-N</t>
    </r>
  </si>
  <si>
    <t>863M &amp; 864M</t>
  </si>
  <si>
    <t>781CS &amp; 781CS-N</t>
  </si>
  <si>
    <t>581SS &amp; 581SS-N</t>
  </si>
  <si>
    <t>M6723329</t>
  </si>
  <si>
    <t>582SS &amp; 582SS-N</t>
  </si>
  <si>
    <t>Model 781CS</t>
  </si>
  <si>
    <t>125 &amp; 125-N</t>
  </si>
  <si>
    <t>Carbon Steel Basket Strainer - ASTM WCB - Screwed Ends - FNPT - Knob Type Cover - Made in USA</t>
  </si>
  <si>
    <t>Carbon Steel Basket Strainer - ASTM WCB - Flanged Ends - 150# - Knob Type Cover - Made in USA</t>
  </si>
  <si>
    <t>Carbon Steel Basket Strainer - ASTM WCB - Flanged Ends - 300# - Knob Type Cover - Made in USA</t>
  </si>
  <si>
    <t>Carbon Steel Basket Strainer - ASTM WCB - Flanged Ends - 300# - Bolted Cover - Made in USA</t>
  </si>
  <si>
    <t>Stainless Steel Basket Strainer - ASTM A351 CF8M - Flanged Ends - 150# - Knob Type Cover - Made in USA</t>
  </si>
  <si>
    <t>Stainless Steel Basket Strainer - ASTM A351 CF8M - Screwed Ends - FNPT - Knob Type Cover - Made in USA</t>
  </si>
  <si>
    <t>Stainless Steel Basket Strainer - ASTM A351 CF8M - Flanged Ends - 150# - Bolted Cover - Made in USA</t>
  </si>
  <si>
    <t>Duplex Basket Strainer - Screwed Ends FNPT - Knob Type Cover - Made in USA</t>
  </si>
  <si>
    <t>Duplex Basket Strainer - Flanged Ends 125# - Knob Type Cover - Made in USA</t>
  </si>
  <si>
    <t>Duplex Basket Strainer - Flanged Ends 125# - Bolted Cover, Gear Operator - Made in USA</t>
  </si>
  <si>
    <t>Duplex Basket Strainer - Flanged Ends 150# - Knob Type Cover - Made in USA</t>
  </si>
  <si>
    <t>Duplex Basket Strainer - Flanged Ends 150# - Bolted Cover, Gear Operator - Made in USA</t>
  </si>
  <si>
    <t>Duplex Basket Strainer - Screwed Ends FNPT - Bolted Cover - Made in USA</t>
  </si>
  <si>
    <t>Lip Seal</t>
  </si>
  <si>
    <t>Hinge Pin</t>
  </si>
  <si>
    <t>Plugs (2 REQ. PER)</t>
  </si>
  <si>
    <t>Lip Seal/O-Ring</t>
  </si>
  <si>
    <t>Index</t>
  </si>
  <si>
    <t>Oring Kit - PTFE (Encap)</t>
  </si>
  <si>
    <t>Seal Kit - PTFE (Encap)</t>
  </si>
  <si>
    <t>M6763632</t>
  </si>
  <si>
    <t>M6763633</t>
  </si>
  <si>
    <t>M6763634</t>
  </si>
  <si>
    <t>M6763635</t>
  </si>
  <si>
    <t>M6763636</t>
  </si>
  <si>
    <t>M6763637</t>
  </si>
  <si>
    <t>M6763638</t>
  </si>
  <si>
    <t>M6763639</t>
  </si>
  <si>
    <t>M6763640</t>
  </si>
  <si>
    <t>M6763641</t>
  </si>
  <si>
    <t>M6763642</t>
  </si>
  <si>
    <t>M6763643</t>
  </si>
  <si>
    <t>M6763644</t>
  </si>
  <si>
    <t>M6763645</t>
  </si>
  <si>
    <t>M6763646</t>
  </si>
  <si>
    <t>M6763647</t>
  </si>
  <si>
    <t>M6763648</t>
  </si>
  <si>
    <t>M6763649</t>
  </si>
  <si>
    <t>M6763650</t>
  </si>
  <si>
    <t>M6763651</t>
  </si>
  <si>
    <t>M6763652</t>
  </si>
  <si>
    <t>M6763653</t>
  </si>
  <si>
    <t>M6763654</t>
  </si>
  <si>
    <t>M6763655</t>
  </si>
  <si>
    <t>M6763656</t>
  </si>
  <si>
    <t>M6763657</t>
  </si>
  <si>
    <t>M6763658</t>
  </si>
  <si>
    <t>M6763659</t>
  </si>
  <si>
    <t>M6763660</t>
  </si>
  <si>
    <t>M6763661</t>
  </si>
  <si>
    <t>M6763662</t>
  </si>
  <si>
    <t>M6763663</t>
  </si>
  <si>
    <t>M6763664</t>
  </si>
  <si>
    <t>M6763665</t>
  </si>
  <si>
    <t>M6763666</t>
  </si>
  <si>
    <t>M6763667</t>
  </si>
  <si>
    <t>M6763668</t>
  </si>
  <si>
    <t>M6763669</t>
  </si>
  <si>
    <t>M6763670</t>
  </si>
  <si>
    <t>M6763671</t>
  </si>
  <si>
    <t>M6763672</t>
  </si>
  <si>
    <t>M6763673</t>
  </si>
  <si>
    <t>M6763674</t>
  </si>
  <si>
    <t>M6763675</t>
  </si>
  <si>
    <t>M6763676</t>
  </si>
  <si>
    <t>M6763677</t>
  </si>
  <si>
    <t>M6763678</t>
  </si>
  <si>
    <t>M6763679</t>
  </si>
  <si>
    <t>M6763680</t>
  </si>
  <si>
    <t>M6763681</t>
  </si>
  <si>
    <t>M6763682</t>
  </si>
  <si>
    <t>M6763685</t>
  </si>
  <si>
    <t>M6763686</t>
  </si>
  <si>
    <t>M6763687</t>
  </si>
  <si>
    <t>M6763688</t>
  </si>
  <si>
    <t>M6763689</t>
  </si>
  <si>
    <t>M6763690</t>
  </si>
  <si>
    <t>M6763691</t>
  </si>
  <si>
    <t>M6763692</t>
  </si>
  <si>
    <t>M6763693</t>
  </si>
  <si>
    <t>M6763694</t>
  </si>
  <si>
    <t>M6763695</t>
  </si>
  <si>
    <t>M6763696</t>
  </si>
  <si>
    <t>M6780010</t>
  </si>
  <si>
    <t>M6780011</t>
  </si>
  <si>
    <t>M6780012</t>
  </si>
  <si>
    <t>M6780013</t>
  </si>
  <si>
    <t>M6780014</t>
  </si>
  <si>
    <t>M6780015</t>
  </si>
  <si>
    <t>M6780016</t>
  </si>
  <si>
    <t>M6780017</t>
  </si>
  <si>
    <t>M6780018</t>
  </si>
  <si>
    <t>M6780019</t>
  </si>
  <si>
    <t>M6780020</t>
  </si>
  <si>
    <t>M6780021</t>
  </si>
  <si>
    <t>M6780022</t>
  </si>
  <si>
    <t>M6780023</t>
  </si>
  <si>
    <t>M6780024</t>
  </si>
  <si>
    <t>M6780025</t>
  </si>
  <si>
    <t>M6780026</t>
  </si>
  <si>
    <t>M6780027</t>
  </si>
  <si>
    <t>M6780028</t>
  </si>
  <si>
    <t>M6780029</t>
  </si>
  <si>
    <t>M6780030</t>
  </si>
  <si>
    <t>M6780031</t>
  </si>
  <si>
    <t>M6780032</t>
  </si>
  <si>
    <t>M6780033</t>
  </si>
  <si>
    <t>M6780034</t>
  </si>
  <si>
    <t>M6780035</t>
  </si>
  <si>
    <t>M6780036</t>
  </si>
  <si>
    <t>0.375" 251 300# W/5/32" PF; 40ML SCN</t>
  </si>
  <si>
    <t>8" 781CS 150# W/5/32" PF; 100ML SCN</t>
  </si>
  <si>
    <t>14" 781CS 150# W/5/32" PF; 40ML SCN</t>
  </si>
  <si>
    <t>18" 781CS 150# W/5/32" PF; 40ML SCN</t>
  </si>
  <si>
    <t>24" 781CS 150#1/8" SCN</t>
  </si>
  <si>
    <t>0.5" 781CSWE 150# W/5/32" PF; 40ML SCN</t>
  </si>
  <si>
    <t>0.5" 781CSWE 150# W/5/32" PF; 100ML SCN</t>
  </si>
  <si>
    <t>1" 781CSWE 150# W/5/32" PF; 40ML SCN</t>
  </si>
  <si>
    <t>1-1/2" 781CSWE 150# W/5/32" PF; 40ML SCN</t>
  </si>
  <si>
    <t>1-1/2" 781CSWE 150# W/5/32" PF; 100ML SCN</t>
  </si>
  <si>
    <t>2-1/2" 781CSWE 150# W/5/32" PF; 100ML SCN</t>
  </si>
  <si>
    <t>4" 781CSWE 150# W/5/32" PF; 100ML SCN</t>
  </si>
  <si>
    <t>8" 781CSWE 150# W/5/32" PF; 100ML SCN</t>
  </si>
  <si>
    <t>10" 781CSWE 150# W/5/32" PF; 100ML SCN</t>
  </si>
  <si>
    <t>12" 781CSWE 150# W/5/32" PF; 40ML SCN</t>
  </si>
  <si>
    <t>12" 781CSWE 150# W/5/32" PF; 100ML SCN</t>
  </si>
  <si>
    <t>0.5" 782CS 300# W/5/32" PF; 100ML SCN</t>
  </si>
  <si>
    <t>10" 782CS 300# W/5/32" PF; 100ML SCN</t>
  </si>
  <si>
    <t>12" 782CS 300# W/5/32" PF; 40ML SCN</t>
  </si>
  <si>
    <t>12" 782CS 300# W/5/32" PF; 100ML SCN</t>
  </si>
  <si>
    <t>0.5" 782CSWE 300# W/5/32" PF; 40ML SCN</t>
  </si>
  <si>
    <t>0.5" 782CSWE 300# W/5/32" PF; 100ML SCN</t>
  </si>
  <si>
    <t>3/4" 782CSWE 300# W/5/32" PF; 100ML SCN</t>
  </si>
  <si>
    <t>1" 782CSWE 300# W/5/32" PF; 40ML SCN</t>
  </si>
  <si>
    <t>1" 782CSWE 300# W/5/32" PF; 100ML SCN</t>
  </si>
  <si>
    <t>2-1/2" 782CSWE 300# W/5/32" PF; 40ML SCN</t>
  </si>
  <si>
    <t>2-1/2" 782CSWE 300# W/5/32" PF; 100ML SCN</t>
  </si>
  <si>
    <t>8" 782CSWE 300# W/5/32" PF; 40ML SCN</t>
  </si>
  <si>
    <t>8" 782CSWE 300# W/5/32" PF; 100ML SCN</t>
  </si>
  <si>
    <t>12" 782CSWE 300# W/5/32" PF; 40ML SCN</t>
  </si>
  <si>
    <t>12" 782CSWE 300# W/5/32" PF; 100ML SCN</t>
  </si>
  <si>
    <t>12" 781SS 150# W/5/32" PF; 40ML SCN</t>
  </si>
  <si>
    <t>12" 781SS 150# W/5/32" PF; 100ML SCN</t>
  </si>
  <si>
    <t>1/2" 781SSWE 150# W/5/32" PF; 40ML SCN</t>
  </si>
  <si>
    <t>1/2" 781SSWE 150# W/5/32" PF; 100ML SCN</t>
  </si>
  <si>
    <t>3/4" 781SSWE 150# W/5/32" PF; 100ML SCN</t>
  </si>
  <si>
    <t>2" 781SSWE 150# W/5/32" PF; 40ML SCN</t>
  </si>
  <si>
    <t>2" 781SSWE 150# W/5/32" PF; 100ML SCN</t>
  </si>
  <si>
    <t>2-1/2" 781SSWE 150# W/5/32" PF; 40ML SCN</t>
  </si>
  <si>
    <t>2-1/2" 781SSWE 150# W/5/32" PF; 100ML SCN</t>
  </si>
  <si>
    <t>4" 781SSWE 150# W/5/32" PF; 40ML SCN</t>
  </si>
  <si>
    <t>8" 782SS 300# W/5/32" PF; 40ML SCN</t>
  </si>
  <si>
    <t>8" 782SS 300# W/5/32" PF; 100ML SCN</t>
  </si>
  <si>
    <t>10" 782SS 300# W/5/32" PF; 40ML SCN</t>
  </si>
  <si>
    <t>10" 782SS 300# W/5/32" PF; 100ML SCN</t>
  </si>
  <si>
    <t>12" 782SS 300# W/5/32" PF; 40ML SCN</t>
  </si>
  <si>
    <t>12" 782SS 300# W/5/32" PF; 100ML SCN</t>
  </si>
  <si>
    <t>3/4" 782SSWE 300# W/5/32" PF; 40ML SCN</t>
  </si>
  <si>
    <t>3/4" 782SSWE 300# W/5/32" PF; 100ML SCN</t>
  </si>
  <si>
    <t>1" 782SSWE 300# W/5/32" PF; 40ML SCN</t>
  </si>
  <si>
    <t>1-1/2" 782SSWE 300# W/5/32" PF; 40ML SCN</t>
  </si>
  <si>
    <t>1-1/2" 782SSWE 300# W/5/32" PF; 100ML SCN</t>
  </si>
  <si>
    <t>2" 782SSWE 300# W/5/32" PF; 40ML SCN</t>
  </si>
  <si>
    <t>2" 782SSWE 300# W/5/32" PF; 100ML SCN</t>
  </si>
  <si>
    <t>3" 782SSWE 300# W/5/32" PF; 100ML SCN</t>
  </si>
  <si>
    <t>4" 782SSWE 300# W/5/32" PF; 40ML SCN</t>
  </si>
  <si>
    <t>4" 782SSWE 300# W/5/32" PF; 100ML SCN</t>
  </si>
  <si>
    <t>1" 125CI 125# W/5/32" PF; 40ML SCN</t>
  </si>
  <si>
    <t>1-1/4" 125FCI 125# W/5/32" PF; 40ML SCN</t>
  </si>
  <si>
    <t>1-1/4" 125FCI 125# W/5/32" PF; 100ML SCN</t>
  </si>
  <si>
    <t>8" 125FCI 125# W/5/32" PF; 40ML SCN</t>
  </si>
  <si>
    <t>10" 125FCI 125# W/5/32" PF; 40ML SCN</t>
  </si>
  <si>
    <t>8" 155M 125# W/5/32" PF; 100ML SCN</t>
  </si>
  <si>
    <t>10" 155M 125# W/5/32" PF; 40ML SCN</t>
  </si>
  <si>
    <t>12" 155M 125# W/5/32" PF; 100ML SCN</t>
  </si>
  <si>
    <t>8" 165 125# W/5/32" PF; 100ML SCN</t>
  </si>
  <si>
    <t>10" 165 125# W/5/32" PF; 100ML SCN</t>
  </si>
  <si>
    <t>1/2" 125CS 125# W/5/32" PF; 40ML SCN</t>
  </si>
  <si>
    <t>3/4" 125CS 125# W/5/32" PF; 40ML SCN</t>
  </si>
  <si>
    <t>2" 125CS 125# W/5/32" PF; 100ML SCN</t>
  </si>
  <si>
    <t>2 1/2" 125CS 125# W/5/32" PF; 40ML SCN</t>
  </si>
  <si>
    <t>2 1/2" 125CS 125# W/5/32" PF; 100ML SCN</t>
  </si>
  <si>
    <t>3" 125CS 125# W/5/32" PF; 40ML SCN</t>
  </si>
  <si>
    <t>3" 125CS 125# W/5/32" PF; 100ML SCN</t>
  </si>
  <si>
    <t>1 1/4" 125FCS 125# W/5/32" PF; 100ML SCN</t>
  </si>
  <si>
    <t>1 1/2" 125FCS 125# W/5/32" PF; 100ML SCN</t>
  </si>
  <si>
    <t>2 1/2" 125FCS 125# W/5/32" PF; 40ML SCN</t>
  </si>
  <si>
    <t>4" 125FCS 125# W/5/32" PF; 100ML SCN</t>
  </si>
  <si>
    <t>8" 125FCS 125# W/5/32" PF; 40ML SCN</t>
  </si>
  <si>
    <t>10" 125FCS 125# W/5/32" PF; 40ML SCN</t>
  </si>
  <si>
    <t>10" 125FCS 125# W/5/32" PF; 100ML SCN</t>
  </si>
  <si>
    <t>1 1/2" 185CS 300# W/5/32" PF; 100ML SCN</t>
  </si>
  <si>
    <t>8" 185CS 300# W/5/32" PF; 100ML SCN</t>
  </si>
  <si>
    <t>12" 185CS 300# W/5/32" PF; 100ML SCN</t>
  </si>
  <si>
    <t>1 1/2" 186CS 300# W/5/32" PF; 40ML SCN</t>
  </si>
  <si>
    <t>1 1/2" 186CS 300# W/5/32" PF; 100ML SCN</t>
  </si>
  <si>
    <t>2 1/2" 186CS 300# W/5/32" PF; 100ML SCN</t>
  </si>
  <si>
    <t>8" 186CS 300# W/5/32" PF; 100ML SCN</t>
  </si>
  <si>
    <t>10" 186CS 300# W/5/32" PF; 40ML SCN</t>
  </si>
  <si>
    <t>12" 186CS 300# W/5/32" PF; 100ML SCN</t>
  </si>
  <si>
    <t>1" SLD SQ HD PLG 316SS</t>
  </si>
  <si>
    <t>M6737883</t>
  </si>
  <si>
    <t>3" 126FCS 300# W/1/16" PF SS BSK</t>
  </si>
  <si>
    <t>16 125-600 SPG RH STD316SS  &amp; 16 125-600 SPG LH 316SS</t>
  </si>
  <si>
    <t>M6763607</t>
  </si>
  <si>
    <t>M6763608</t>
  </si>
  <si>
    <t>0.25" 251 300# W/5/32" PF; 40ML SCN</t>
  </si>
  <si>
    <t>0.25" 251 300# W/5/32" PF; 100ML SCN</t>
  </si>
  <si>
    <t>M6700760</t>
  </si>
  <si>
    <t>1-1/2" 758 CI 125# W/1/1</t>
  </si>
  <si>
    <t>316 SS</t>
  </si>
  <si>
    <t>303AT</t>
  </si>
  <si>
    <t>M6700147</t>
  </si>
  <si>
    <t>M6700198</t>
  </si>
  <si>
    <t>M6700569</t>
  </si>
  <si>
    <t>M6700658</t>
  </si>
  <si>
    <t>M6700723</t>
  </si>
  <si>
    <t>M6701340</t>
  </si>
  <si>
    <t>Model 861CS-BC</t>
  </si>
  <si>
    <t>861CS-BC</t>
  </si>
  <si>
    <t>M6700174</t>
  </si>
  <si>
    <t>M6700238</t>
  </si>
  <si>
    <t>M6700620</t>
  </si>
  <si>
    <t>M6700687</t>
  </si>
  <si>
    <t>M6700779</t>
  </si>
  <si>
    <t>M6701516</t>
  </si>
  <si>
    <t>M6701659</t>
  </si>
  <si>
    <t>M6702444</t>
  </si>
  <si>
    <t>Model 862CS-BC</t>
  </si>
  <si>
    <t>862CS-BC</t>
  </si>
  <si>
    <t>M6700179</t>
  </si>
  <si>
    <t>M6700243</t>
  </si>
  <si>
    <t>M6700625</t>
  </si>
  <si>
    <t>M6700691</t>
  </si>
  <si>
    <t>M6700784</t>
  </si>
  <si>
    <t>M6701520</t>
  </si>
  <si>
    <t>M6701661</t>
  </si>
  <si>
    <t>M6702446</t>
  </si>
  <si>
    <t>Model 861CS, 861CS-BC, 862CS and 862CS-BC</t>
  </si>
  <si>
    <t>861CS, 861CS-BC, 862CS &amp; 862CS-BC</t>
  </si>
  <si>
    <t>Model 861SS-BC</t>
  </si>
  <si>
    <t>861SS-BC</t>
  </si>
  <si>
    <t>M6700176</t>
  </si>
  <si>
    <t>M6700240</t>
  </si>
  <si>
    <t>M6700622</t>
  </si>
  <si>
    <t>M6700689</t>
  </si>
  <si>
    <t>M6700781</t>
  </si>
  <si>
    <t>M6734867</t>
  </si>
  <si>
    <t>M6701660</t>
  </si>
  <si>
    <t>M6702445</t>
  </si>
  <si>
    <t>Model 862SS-BC</t>
  </si>
  <si>
    <t>862SS-BC</t>
  </si>
  <si>
    <t>M6700181</t>
  </si>
  <si>
    <t>M6700245</t>
  </si>
  <si>
    <t>M6700627</t>
  </si>
  <si>
    <t>M6700787</t>
  </si>
  <si>
    <t>M6701522</t>
  </si>
  <si>
    <t>M6731113</t>
  </si>
  <si>
    <t>M6702447</t>
  </si>
  <si>
    <t>M6743310</t>
  </si>
  <si>
    <t>Model 861SS, 861SS-BC, 862SS and 862SS-BC</t>
  </si>
  <si>
    <t>861SS, 861SS-BC, 862SS &amp; 862SS-BC</t>
  </si>
  <si>
    <r>
      <rPr>
        <b/>
        <sz val="11"/>
        <color rgb="FF231F20"/>
        <rFont val="Arial"/>
        <family val="2"/>
      </rPr>
      <t>Model 781SS</t>
    </r>
    <r>
      <rPr>
        <b/>
        <sz val="11"/>
        <rFont val="Arial"/>
        <family val="2"/>
      </rPr>
      <t>-N</t>
    </r>
  </si>
  <si>
    <t>781SS-N</t>
  </si>
  <si>
    <t>Stainless Steel - ASTM 351 CF8M – Flanged Ends 150# - Imported</t>
  </si>
  <si>
    <t>M6746265</t>
  </si>
  <si>
    <t>M6726539</t>
  </si>
  <si>
    <t>M6727786</t>
  </si>
  <si>
    <t>M6726483</t>
  </si>
  <si>
    <t>M6726540</t>
  </si>
  <si>
    <t>M6726524</t>
  </si>
  <si>
    <t>M6727787</t>
  </si>
  <si>
    <t>M6746128</t>
  </si>
  <si>
    <t>M6761309</t>
  </si>
  <si>
    <t>781SS, 781SS-N &amp; 781SS-WE</t>
  </si>
  <si>
    <t>Model 781SS, 781SS-N &amp; 781SS-WE</t>
  </si>
  <si>
    <r>
      <rPr>
        <b/>
        <sz val="11"/>
        <color rgb="FF231F20"/>
        <rFont val="Arial"/>
        <family val="2"/>
      </rPr>
      <t>Model 782SS</t>
    </r>
    <r>
      <rPr>
        <b/>
        <sz val="11"/>
        <rFont val="Arial"/>
        <family val="2"/>
      </rPr>
      <t>-N</t>
    </r>
  </si>
  <si>
    <t>Stainless Steel - ASTM 351 CF8M – Flanged Ends 300# - Imported</t>
  </si>
  <si>
    <t>782SS-N</t>
  </si>
  <si>
    <t>M6727792</t>
  </si>
  <si>
    <t>M6727793</t>
  </si>
  <si>
    <t>M6727794</t>
  </si>
  <si>
    <t>M6727795</t>
  </si>
  <si>
    <t>M6727796</t>
  </si>
  <si>
    <t>M6727797</t>
  </si>
  <si>
    <t>Alternate Screen Options</t>
  </si>
  <si>
    <t>LIST PRICE ADDER</t>
  </si>
  <si>
    <t>LIST PRICE ADDER 
(from standard screen)</t>
  </si>
  <si>
    <t>Y Strainer, Basker Strainer</t>
  </si>
  <si>
    <t>316 Stainless Steel</t>
  </si>
  <si>
    <t>Duplex Strainer</t>
  </si>
  <si>
    <t>All alternate 304SS screens and baskets - 5% list price adder from standard screen.</t>
  </si>
  <si>
    <t>316SS Screens</t>
  </si>
  <si>
    <t>SCREEN MATERIAL</t>
  </si>
  <si>
    <t>150 &amp; 200 Mesh Lined Screen</t>
  </si>
  <si>
    <t>DESCRIPTION</t>
  </si>
  <si>
    <t>1/4" 304SS Perforated Screen</t>
  </si>
  <si>
    <t>Y Strainer, Basket Strainer</t>
  </si>
  <si>
    <t>Y Strainer</t>
  </si>
  <si>
    <t>Basket Strainer</t>
  </si>
  <si>
    <t>SIZE</t>
  </si>
  <si>
    <t>Monel Screen Adders</t>
  </si>
  <si>
    <t>SCREEN TYPE</t>
  </si>
  <si>
    <t>Perforated Screen</t>
  </si>
  <si>
    <t>1/32", 1/16", 1/8", 5/32"</t>
  </si>
  <si>
    <t>Mesh Lined Screens</t>
  </si>
  <si>
    <t>20,30,40,60,80,100 mesh</t>
  </si>
  <si>
    <t>Basket Strainers</t>
  </si>
  <si>
    <t>Y Strainers</t>
  </si>
  <si>
    <t>Model 11M, LF351M and LF352M Only</t>
  </si>
  <si>
    <t>20-30 mesh</t>
  </si>
  <si>
    <t>5/32" Perf Mesh Lined Screens</t>
  </si>
  <si>
    <t>Drilled Tapped and Plugged Gauge Ports</t>
  </si>
  <si>
    <t>DESCRIPTIONS</t>
  </si>
  <si>
    <t>All Products</t>
  </si>
  <si>
    <t>PORT SIZE</t>
  </si>
  <si>
    <t>1/8" &amp; 1/4" Only</t>
  </si>
  <si>
    <t>*Includes drilling, tapping and installing plug of appropriate material and testing of completed unit after assembly with ports plugged</t>
  </si>
  <si>
    <t>PMI Testing (Using Niton XER Portable Analyzer)</t>
  </si>
  <si>
    <t>Model # XL 3t900</t>
  </si>
  <si>
    <t>Epoxy Paint</t>
  </si>
  <si>
    <t>Y Strainers, Basket Strainers</t>
  </si>
  <si>
    <t>LIST PRICE ADDERS</t>
  </si>
  <si>
    <t>FDA Approved (NSF-61 Coverall Gray), Fusion Bonded (Black Beauty), Two Part Wet</t>
  </si>
  <si>
    <t>Oxygen Cleaning</t>
  </si>
  <si>
    <t>Cleaned for Industrial Gases</t>
  </si>
  <si>
    <t>Sure Check</t>
  </si>
  <si>
    <t>Model 303 Silent Check</t>
  </si>
  <si>
    <t>Silent Check, Wafer</t>
  </si>
  <si>
    <t>Silent Check, Globe</t>
  </si>
  <si>
    <t>Cleaning includes:</t>
  </si>
  <si>
    <t>Cleaning for industrial gases, including non-medical oxygen per MSS specification</t>
  </si>
  <si>
    <t>Units are individually bagged and tagged as cleaned</t>
  </si>
  <si>
    <t>Customer special specifications are POA</t>
  </si>
  <si>
    <t>NACE Certification MR01-75</t>
  </si>
  <si>
    <t>NACE Certification Includes:</t>
  </si>
  <si>
    <t>MTR with hardness</t>
  </si>
  <si>
    <t>Class III Bolting</t>
  </si>
  <si>
    <t>All NACE-Compliant Materials of Construction</t>
  </si>
  <si>
    <t>LIST PRICE ADDER (each/line item)</t>
  </si>
  <si>
    <t>M6745535</t>
  </si>
  <si>
    <t>M6743767</t>
  </si>
  <si>
    <t>M6743768</t>
  </si>
  <si>
    <t>M6743769</t>
  </si>
  <si>
    <t>M6743771</t>
  </si>
  <si>
    <t>M6743772</t>
  </si>
  <si>
    <t>M6743773</t>
  </si>
  <si>
    <t>M6741811</t>
  </si>
  <si>
    <t>M6700756</t>
  </si>
  <si>
    <t>M6709970</t>
  </si>
  <si>
    <t>Model 764SS</t>
  </si>
  <si>
    <t>Stainless Steel ASTM A351 CF8M – 600# Flanged - Sourced &amp; Manufactured in USA</t>
  </si>
  <si>
    <t>764SS</t>
  </si>
  <si>
    <t>M6700172</t>
  </si>
  <si>
    <t>C.F</t>
  </si>
  <si>
    <t>M6700605</t>
  </si>
  <si>
    <t>M6727146</t>
  </si>
  <si>
    <t>M6701485</t>
  </si>
  <si>
    <t>M6701643</t>
  </si>
  <si>
    <t>M6702418</t>
  </si>
  <si>
    <t>M6703027</t>
  </si>
  <si>
    <t>M6735532</t>
  </si>
  <si>
    <t>M6700761</t>
  </si>
  <si>
    <t>1-1/2" 761A20 150# W/5/32" PF; 12ML A20 SCN</t>
  </si>
  <si>
    <t>1/2" LF351 SLCN BRZ W/20MSH SS SCN</t>
  </si>
  <si>
    <t>1/4" LF351 SLCN BRZ W/5/32" PF; 30ML SS SCN</t>
  </si>
  <si>
    <t>3/4" LF351 SLCN BRZ W/20 MSH SS SCN</t>
  </si>
  <si>
    <t>1" LF351 SLCN BRZ W/20MSH SS SCN</t>
  </si>
  <si>
    <t>1/2" 303ATCI THRD 200# WOG CV W/316SS TRIM &amp;EPDM</t>
  </si>
  <si>
    <t>3/4" 303ATCI THRD 200# WOG CV W/316SS TRIM&amp;EPDM</t>
  </si>
  <si>
    <t>1-1/2" LF351 SLCN BRZ W/20 MSH SS SCN</t>
  </si>
  <si>
    <t>2" 758 125# W/5/32" PF;100ML SS SCN</t>
  </si>
  <si>
    <t>1" 303ATCI THRD 200# WOGCV W/316SS TRIM &amp; EPDM</t>
  </si>
  <si>
    <t>2" LF351 SLCN BRZ W/20 MSH SS SCN</t>
  </si>
  <si>
    <t>1-1/4" 303ATCI THRD 200#WOG CV W/316SS TRIM&amp;EPDM</t>
  </si>
  <si>
    <t>1-1/2" 303ATCI THRD 200#WOG CV W/316SS TRIM&amp;EPDM</t>
  </si>
  <si>
    <t>2" 303ATCI THRD 200# WOGCV W/316SS TRIM &amp; EPDM</t>
  </si>
  <si>
    <t>1-1/2" 581SS 600# W/1/16PF SS SCN</t>
  </si>
  <si>
    <t>2" 781SS-N 150# W/1/16"PF SS SCN</t>
  </si>
  <si>
    <t>1/2" 861CSBC 600# W/1/16" PF SS SCN</t>
  </si>
  <si>
    <t>1/2" 862CSBC 600# W/1/16" PF SS SCN</t>
  </si>
  <si>
    <t>2-1/2" LF351 SLCN BRZ W/1/16" PF SS SCN</t>
  </si>
  <si>
    <t>3/4" 861CSBC 600# W/1/16" PF SS SCN</t>
  </si>
  <si>
    <t>3/4  862CSBC 600# W/1/16PF SS SCN</t>
  </si>
  <si>
    <t>1/2  861SSBC 600# W/1/16PF SS SCN</t>
  </si>
  <si>
    <t>1/2" 862SSBC 600# W/1/16" PF SS SCN</t>
  </si>
  <si>
    <t>1" 862CSBC 600# W/1/16"PF SS SCN</t>
  </si>
  <si>
    <t>3/4" 861SSBC 600# W/1/16" PF SS SCN</t>
  </si>
  <si>
    <t>3/4" 862SSBC 600# W/1/16" PF SS SCN</t>
  </si>
  <si>
    <t>1" 861CSBC 600# W/1/16"PF SS SCN</t>
  </si>
  <si>
    <t>2-1/2" 781SS-N 150# W/1/16" PF SS SCN</t>
  </si>
  <si>
    <t>2" 782SS-N 300# W/1/16"PF SS SCN</t>
  </si>
  <si>
    <t>1" 861SSBC 600# W/1/16"PF SS SCN</t>
  </si>
  <si>
    <t>1" 862SSBC 600# W/1/16"PF SS SCN</t>
  </si>
  <si>
    <t>3" 781SS-N 150# W/1/16"PF SS SCN</t>
  </si>
  <si>
    <t>1-1/4" 861CSBC 600# W/1/16" PF SS SCN</t>
  </si>
  <si>
    <t>2-1/2" 782SS-N 300# W/1/16" PF SS SCN</t>
  </si>
  <si>
    <t>3" 782SS-N 300# W/1/16"PF SS SCN</t>
  </si>
  <si>
    <t>1-1/4" 862CSBC 600# W/1/16" PF SS SCN</t>
  </si>
  <si>
    <t>1-1/2" 861CSBC 600# W/1/16" PF SS SCN</t>
  </si>
  <si>
    <t>3" LF351 SLCN BRZ SCW YSTR</t>
  </si>
  <si>
    <t>1-1/2" 862CSBC 600# 1/16" PF SS SCN</t>
  </si>
  <si>
    <t>2" 861CSBC 600# W/1/16"PF SS SCN</t>
  </si>
  <si>
    <t>1-1/4" 861SSBC 600# W/1/16" PF SS SCN</t>
  </si>
  <si>
    <t>1-1/4" 862SSBC 600# W/1/16" PF SS SCN</t>
  </si>
  <si>
    <t>2" 862CSBC 600# W/1/16"PF SS SCN</t>
  </si>
  <si>
    <t>1-1/2" 861SSBC 600# W/1/16" PF SS SCN</t>
  </si>
  <si>
    <t>1-1/2" 862SSBC 600# W/1/16" PF SS SCN</t>
  </si>
  <si>
    <t>1/2" 764SS 600# W/1/16"PF SS SCN</t>
  </si>
  <si>
    <t>4" 781SS-N 150# W/1/16"PF SS SCN</t>
  </si>
  <si>
    <t>2-1/2" 861CSBC 600# W/1/16" PF SS SCN</t>
  </si>
  <si>
    <t>4" 782SS-N 300# W/1/16"PF SS SCN</t>
  </si>
  <si>
    <t>2" 862SSBC 600# W/1/16"PF SS SCN</t>
  </si>
  <si>
    <t>2" 861SSBC 600# W/1/16"PF SS SCN</t>
  </si>
  <si>
    <t>1" 764SS 600# W/1/16" PFSS SCN</t>
  </si>
  <si>
    <t>2-1/2" 862CSBC 600# W/1/16" PF SS SCN</t>
  </si>
  <si>
    <t>3" 861CSBC 600# W/1/16"PF SS SCN</t>
  </si>
  <si>
    <t>3" 862CSBC 600# W/1/16"PF SS SCN</t>
  </si>
  <si>
    <t>5" 781SS-N 150# W/1/8" PF SS SCN</t>
  </si>
  <si>
    <t>2-1/2" 861SSBC 600# W/1/16" PF SS SCN</t>
  </si>
  <si>
    <t>2-1/2" 862SSBC 600# W/1//16" PF SS SCN</t>
  </si>
  <si>
    <t>6" 781SS-N 150# W/1/8"PF SS SCN</t>
  </si>
  <si>
    <t>6" 782SS-N 300# W/1/8" PF SS SCN</t>
  </si>
  <si>
    <t>3" 861SSBC 600# W/1/16"PF SS SCN</t>
  </si>
  <si>
    <t>3" 862SSBC 600# W/1/16"PF SS SCN</t>
  </si>
  <si>
    <t>2" 764SS 600# W/1/16" PFSS SCN</t>
  </si>
  <si>
    <t>1-1/2" 764SS 600# W/1/16" PF SS SCN</t>
  </si>
  <si>
    <t>8" 781SS-N 150# W/1/8"PF SS SCN</t>
  </si>
  <si>
    <t>2-1/2" 764SS 600# W/1/16" PF SS SCN</t>
  </si>
  <si>
    <t>8" 782SS-N 300# W/1/8"PF SS SCN</t>
  </si>
  <si>
    <t>3" 764SS 600# W/1/16" PFSS SCN</t>
  </si>
  <si>
    <t>10" 781SS-N 150# W/1/8"PF SS SCN</t>
  </si>
  <si>
    <t>12" 781SS-N 150# W/1/8"PF SS SCN</t>
  </si>
  <si>
    <t>4" 764SS 600# W/1/16" PFSS SCN</t>
  </si>
  <si>
    <t>6" 764SS 600# FLG Y STR</t>
  </si>
  <si>
    <t>SORT</t>
  </si>
  <si>
    <t>M6780004</t>
  </si>
  <si>
    <t>M6780007</t>
  </si>
  <si>
    <t>M6780009</t>
  </si>
  <si>
    <t>M6780000</t>
  </si>
  <si>
    <t>M6780001</t>
  </si>
  <si>
    <t>M6780002</t>
  </si>
  <si>
    <t>M6780003</t>
  </si>
  <si>
    <t>M6780008</t>
  </si>
  <si>
    <t>M6780006</t>
  </si>
  <si>
    <t>M6780005</t>
  </si>
  <si>
    <t>Series 94</t>
  </si>
  <si>
    <t>Statinless Steel ASTM A351 Gr CF8M - Lug Style - Imported</t>
  </si>
  <si>
    <t>94SHH8</t>
  </si>
  <si>
    <t>M6780050</t>
  </si>
  <si>
    <t>M6780051</t>
  </si>
  <si>
    <t>M6780052</t>
  </si>
  <si>
    <t>M6780053</t>
  </si>
  <si>
    <t>M6780054</t>
  </si>
  <si>
    <t>M6780055</t>
  </si>
  <si>
    <t>M6780056</t>
  </si>
  <si>
    <t>M6780057</t>
  </si>
  <si>
    <t>M6780058</t>
  </si>
  <si>
    <t>M6780059</t>
  </si>
  <si>
    <t>M6780060</t>
  </si>
  <si>
    <t>M6780061</t>
  </si>
  <si>
    <t>M6780062</t>
  </si>
  <si>
    <t>New! July 2025</t>
  </si>
  <si>
    <t>2.0 94SHH81 SS HPBFV W/ LVR HDL</t>
  </si>
  <si>
    <t>2.0 94SHH85 SS HPBFV W/ GO</t>
  </si>
  <si>
    <t>2.5 94SHH81 SS HPBFV W/ LVR HDL</t>
  </si>
  <si>
    <t>2.5 94SHH85 SS HPBFV W/ GO</t>
  </si>
  <si>
    <t>3.0 94SHH81 SS HPBFV W/ LVR HDL</t>
  </si>
  <si>
    <t>3.0 94SHH85 SS HPBFV W/ GO</t>
  </si>
  <si>
    <t>4.0 94SHH81 SS HPBFV W/ LVR HDL</t>
  </si>
  <si>
    <t>4.0 94SHH85 SS HPBFV W/ GO</t>
  </si>
  <si>
    <t>6.0 94SHH81 SS HPBFV W/ LVR HDL</t>
  </si>
  <si>
    <t>6.0 94SHH85 SS HPBFV W/ GO</t>
  </si>
  <si>
    <t>8.0 94SHH85 SS HPBFV W/ GO</t>
  </si>
  <si>
    <t>10.0 94SHH85 SS HPBFV W/ GO</t>
  </si>
  <si>
    <t>12.0 94SHH85 SS HPBFV W/ GO</t>
  </si>
  <si>
    <t>M6762894</t>
  </si>
  <si>
    <t>M6762895</t>
  </si>
  <si>
    <t>M6762896</t>
  </si>
  <si>
    <t>M6762897</t>
  </si>
  <si>
    <t>M6762898</t>
  </si>
  <si>
    <t>M6762899</t>
  </si>
  <si>
    <t>M6762900</t>
  </si>
  <si>
    <t>M6762901</t>
  </si>
  <si>
    <t>M6762902</t>
  </si>
  <si>
    <t>M6762903</t>
  </si>
  <si>
    <t>M6762904</t>
  </si>
  <si>
    <t>M6762905</t>
  </si>
  <si>
    <t>M6762906</t>
  </si>
  <si>
    <t>M6762907</t>
  </si>
  <si>
    <t>M6762908</t>
  </si>
  <si>
    <t>M6762909</t>
  </si>
  <si>
    <t>M6762910</t>
  </si>
  <si>
    <t>M6762911</t>
  </si>
  <si>
    <t>M6762912</t>
  </si>
  <si>
    <t>M6762913</t>
  </si>
  <si>
    <t>M6762914</t>
  </si>
  <si>
    <t>M6762915</t>
  </si>
  <si>
    <t>M6762916</t>
  </si>
  <si>
    <t>M6762917</t>
  </si>
  <si>
    <t>M6762918</t>
  </si>
  <si>
    <t>M6762919</t>
  </si>
  <si>
    <t>M6762920</t>
  </si>
  <si>
    <t>M6762921</t>
  </si>
  <si>
    <t>M6763127</t>
  </si>
  <si>
    <t>M6763128</t>
  </si>
  <si>
    <t>M6763131</t>
  </si>
  <si>
    <t>M6763132</t>
  </si>
  <si>
    <t>M6763135</t>
  </si>
  <si>
    <t>M6763136</t>
  </si>
  <si>
    <t>2  758CI SM 1/16 PF 125# Y STR</t>
  </si>
  <si>
    <t>2-1/2  758CI SM 1/16 PF 125# Y STR</t>
  </si>
  <si>
    <t>3  758CI SM 1/16 PF 125# Y STR</t>
  </si>
  <si>
    <t>4  758CI SM 1/16 PF 125# Y STR</t>
  </si>
  <si>
    <t>5  758CI SM 1/8 PF 125# Y STR</t>
  </si>
  <si>
    <t>6  758CI SM 1/8 PF 125# Y STR</t>
  </si>
  <si>
    <t>8  758CI SM 1/8 PF 125# Y STR</t>
  </si>
  <si>
    <t>10  758CI SM 1/8 PF 125# Y STR</t>
  </si>
  <si>
    <t>12  758CI SM 1/8 PF 125# Y STR</t>
  </si>
  <si>
    <t>14  758CI SM 1/8 PF 125# Y STR</t>
  </si>
  <si>
    <t>16  758CI SM 1/8 PF 125# Y STR</t>
  </si>
  <si>
    <t>18  758CI SM 1/8 PF 125# Y STR</t>
  </si>
  <si>
    <t>20  758CI SM 1/8 PF 125# Y STR</t>
  </si>
  <si>
    <t>24  758CI SM 1/8 PF 125# Y STR</t>
  </si>
  <si>
    <t>2  752CI SM 1/16 PF 250# Y STR</t>
  </si>
  <si>
    <t>2-1/2 752CI SM 1/16 PF 250# Y STR</t>
  </si>
  <si>
    <t>3  752CI SM 1/16 PF 250# Y STR</t>
  </si>
  <si>
    <t>4  752CI SM 1/16 PF 250# Y STR</t>
  </si>
  <si>
    <t>5  752CI SM 1/8 PF 250# Y STR</t>
  </si>
  <si>
    <t>6  752CI SM 1/8 PF 250# Y STR</t>
  </si>
  <si>
    <t>8  752CI SM 1/8 PF 250# Y STR</t>
  </si>
  <si>
    <t>10  752CI SM 1/8 PF 250# Y STR</t>
  </si>
  <si>
    <t>12  752CI SM 1/8 PF 250# Y STR</t>
  </si>
  <si>
    <t>14  752CI SM 1/8 PF 250# Y STR</t>
  </si>
  <si>
    <t>16  752CI SM 1/8 PF 250# Y STR</t>
  </si>
  <si>
    <t>18  752CI SM 1/8 PF 250# Y STR</t>
  </si>
  <si>
    <t>20  752CI SM 1/8 PF 250# Y STR</t>
  </si>
  <si>
    <t>24  752CI SM 1/8 PF 250# Y STR</t>
  </si>
  <si>
    <t>CL150 BMS CONN KIT CL125, CL150</t>
  </si>
  <si>
    <t>CL600 BMS CONN KIT CL250, CL300, CL600</t>
  </si>
  <si>
    <t>CL150 CELL CONN KIT CL125, CL150</t>
  </si>
  <si>
    <t>CL600 CELL CONN KIT CL250, CL300, CL600</t>
  </si>
  <si>
    <t>CL150 SENSOR REPL KT CL125, CL150</t>
  </si>
  <si>
    <t>CL600 SENSOR REPL KT CL250, CL300, CL600</t>
  </si>
  <si>
    <t>M6762989</t>
  </si>
  <si>
    <t>M6762990</t>
  </si>
  <si>
    <t>M6762991</t>
  </si>
  <si>
    <t>12  691MFAB SM 1/8 PF 125# CI BSK STR</t>
  </si>
  <si>
    <t>10  691MFAB SM 1/8 PF 125# CI BSK STR</t>
  </si>
  <si>
    <t>8  691MFAB SM 1/8 PF 125# CI BSK STR</t>
  </si>
  <si>
    <t>M6762992</t>
  </si>
  <si>
    <t>14  691MFAB SM 1/8 PF 125# CI BSK STR</t>
  </si>
  <si>
    <t>M6762993</t>
  </si>
  <si>
    <t>16  691MFAB SM 1/8 PF 125# CI BSK STR</t>
  </si>
  <si>
    <t>M6762994</t>
  </si>
  <si>
    <t>8  692MFDB SM 1/8  PF 150# CS BSK STR</t>
  </si>
  <si>
    <t>M6762995</t>
  </si>
  <si>
    <t>10  692MFDB SM 1/8  PF 150# CS BSK STR</t>
  </si>
  <si>
    <t>M6762996</t>
  </si>
  <si>
    <t>12  692MFDB SM 1/8  PF 150# CS BSK STR</t>
  </si>
  <si>
    <t>M6762997</t>
  </si>
  <si>
    <t>14  692MFDB SM 1/8  PF 150# CS BSK STR</t>
  </si>
  <si>
    <t>M6762998</t>
  </si>
  <si>
    <t>16  692MFDB SM 1/8  PF 150# CS BSK STR</t>
  </si>
  <si>
    <t>M6762959</t>
  </si>
  <si>
    <t>2  791MFAH SM 1/16 PF 125# CI BSK STR</t>
  </si>
  <si>
    <t>M6762960</t>
  </si>
  <si>
    <t>2-1/2  791MFAH SM 1/16 PF 125# CI BSK STR</t>
  </si>
  <si>
    <t>M6762961</t>
  </si>
  <si>
    <t>3  791MFAH SM 1/16 PF 125# CI BSK STR</t>
  </si>
  <si>
    <t>M6762962</t>
  </si>
  <si>
    <t>M6762963</t>
  </si>
  <si>
    <t>5  791MFAH SM 1/8 PF 125# CI BSK STR</t>
  </si>
  <si>
    <t>4  791MFAH SM 1/16 PF 125# CI BSK STR</t>
  </si>
  <si>
    <t>M6762964</t>
  </si>
  <si>
    <t>6  791MFAH SM 1/8 PF 125# CI BSK STR</t>
  </si>
  <si>
    <t>M6762965</t>
  </si>
  <si>
    <t>2  792MFDH SM 1/16 PF 150# CS BSK STR</t>
  </si>
  <si>
    <t>M6762966</t>
  </si>
  <si>
    <t>2-1/2  792MFDH SM 1/16 PF 150# CS BSK STR</t>
  </si>
  <si>
    <t>M6762967</t>
  </si>
  <si>
    <t>3  792MFDH SM 1/16 PF 150# CS BSK STR</t>
  </si>
  <si>
    <t>M6762968</t>
  </si>
  <si>
    <t>4  792MFDH SM 1/16 PF 150# CS BSK STR</t>
  </si>
  <si>
    <t>M6762969</t>
  </si>
  <si>
    <t>5  792MFDH SM 1/8 PF 150# CS BSK STR</t>
  </si>
  <si>
    <t>6  792MFDH SM 1/8 PF 150# CS BSK STR</t>
  </si>
  <si>
    <t>M6762971</t>
  </si>
  <si>
    <t>2  792MFHH SM 1/16PF 150# SS BSK STR</t>
  </si>
  <si>
    <t>M6762972</t>
  </si>
  <si>
    <t>2-1/2  792MFHH SM 1/16PF 150# SS BSK STR</t>
  </si>
  <si>
    <t>M6762973</t>
  </si>
  <si>
    <t>3  792MFHH SM 1/16PF 150# SS BSK STR</t>
  </si>
  <si>
    <t>M6762974</t>
  </si>
  <si>
    <t>4  792MFHH SM 1/16PF 150# SS BSK STR</t>
  </si>
  <si>
    <t>M6762975</t>
  </si>
  <si>
    <t>5  792MFHH SM 1/8PF 150# SS BSK STR</t>
  </si>
  <si>
    <t>6  792MFHH SM 1/8PF 150# SS BSK STR</t>
  </si>
  <si>
    <t>M6762976</t>
  </si>
  <si>
    <t>M6762977</t>
  </si>
  <si>
    <t>2  794MFDH SM 1/16 PF 300# CS BSK STR</t>
  </si>
  <si>
    <t>M6762978</t>
  </si>
  <si>
    <t>2-1/2  794MFDH SM 1/16 PF 300# CS BSK STR</t>
  </si>
  <si>
    <t>3  794MFDH SM 1/16 PF 300# CS BSK STR</t>
  </si>
  <si>
    <t>M6762979</t>
  </si>
  <si>
    <t>M6762980</t>
  </si>
  <si>
    <t>4  794MFDH SM 1/16 PF 300# CS BSK STR</t>
  </si>
  <si>
    <t>M6762981</t>
  </si>
  <si>
    <t>5  794MFDH SM 1/8 PF 300# CS BSK STR</t>
  </si>
  <si>
    <t>M6762982</t>
  </si>
  <si>
    <t>6  794MFDH SM 1/8 PF 300# CS BSK STR</t>
  </si>
  <si>
    <t>M6762983</t>
  </si>
  <si>
    <t>2  794MFHH SM 1/16 PF 300# SS BSK STR</t>
  </si>
  <si>
    <t>M6762984</t>
  </si>
  <si>
    <t>2-1/2  794MFHH SM 1/16 PF 300# SS BSK STR</t>
  </si>
  <si>
    <t>M6762985</t>
  </si>
  <si>
    <t>3  794MFHH SM 1/16 PF 300# SS BSK STR</t>
  </si>
  <si>
    <t>M6762986</t>
  </si>
  <si>
    <t>4  794MHH SM 1/16 PF 300# CS BSK STR</t>
  </si>
  <si>
    <t>M6762987</t>
  </si>
  <si>
    <t>5  794MFHH SM 1/8 PF 300# CS BSK STR</t>
  </si>
  <si>
    <t>M6762988</t>
  </si>
  <si>
    <t>6 794MFHH SM 1/8 PF 300# CS BSK STR</t>
  </si>
  <si>
    <t>M6762970</t>
  </si>
  <si>
    <t>NEW! Smart Strainer Enabled</t>
  </si>
  <si>
    <t>691MF-AB SM</t>
  </si>
  <si>
    <t>792MF-DH SM</t>
  </si>
  <si>
    <t>794MF-DH SM</t>
  </si>
  <si>
    <t>792MF-HH SM</t>
  </si>
  <si>
    <t>692MF-DB SM</t>
  </si>
  <si>
    <t>794MF-HH SM</t>
  </si>
  <si>
    <t>Smart Strainer Kits</t>
  </si>
  <si>
    <t>Connection kit must be purchased separately to activate pressure monitoring</t>
  </si>
  <si>
    <t>TYPE OF CONNECTION</t>
  </si>
  <si>
    <t>PRESSURE CLASS</t>
  </si>
  <si>
    <t>KIT TYPE</t>
  </si>
  <si>
    <t xml:space="preserve">BMS </t>
  </si>
  <si>
    <t>Class 125, Class 150</t>
  </si>
  <si>
    <t>Connection Kit</t>
  </si>
  <si>
    <t>Class 250, Class 300, Class 600</t>
  </si>
  <si>
    <t>Cellular</t>
  </si>
  <si>
    <t>Sensor Replacement</t>
  </si>
  <si>
    <t>Sensors Only</t>
  </si>
  <si>
    <t>NEW!</t>
  </si>
  <si>
    <t>Model 794F &amp; 794MF SM</t>
  </si>
  <si>
    <t>Model 692MF SM</t>
  </si>
  <si>
    <t>Model 792F &amp; 792MF SM</t>
  </si>
  <si>
    <t>Model 691MF SM</t>
  </si>
  <si>
    <t>Model 791F &amp; 791MF SM</t>
  </si>
  <si>
    <t>Model 758 SM</t>
  </si>
  <si>
    <t>758 SM</t>
  </si>
  <si>
    <t>Iron Body ASTM A126 Gr. B – Flanged Ends 125# - Assembled in USA - Smart &amp; Connected Sensors Installed for Smart Strainer Connection</t>
  </si>
  <si>
    <t>Model 752 SM</t>
  </si>
  <si>
    <t>Iron Body ASTM A126 Gr. B – Flanged Ends 250# - Assembled in USA - Smart &amp; Connected Sensors Installed</t>
  </si>
  <si>
    <t>752 SM</t>
  </si>
  <si>
    <t>M6700550</t>
  </si>
  <si>
    <t>M6730010</t>
  </si>
  <si>
    <t>1-1/4" 101MHT SS 150# FLGD WCKW/316SS TRIM</t>
  </si>
  <si>
    <t>1" 101MHT SS 150# FLGD WCKW/316SS TRIM</t>
  </si>
  <si>
    <t>M6736236</t>
  </si>
  <si>
    <t>10" 764CS 600# W/1/8" PFSS SCN</t>
  </si>
  <si>
    <t>Series 88, Series 90 &amp; Series 94</t>
  </si>
  <si>
    <t>Series 88</t>
  </si>
  <si>
    <t>Handwheel</t>
  </si>
  <si>
    <t>4-6</t>
  </si>
  <si>
    <t>8-14</t>
  </si>
  <si>
    <t>16-24</t>
  </si>
  <si>
    <t>100-150</t>
  </si>
  <si>
    <t>M7000000</t>
  </si>
  <si>
    <t>M7000003</t>
  </si>
  <si>
    <t>M7000007</t>
  </si>
  <si>
    <t>Series 90</t>
  </si>
  <si>
    <t>2-4</t>
  </si>
  <si>
    <t>5-6</t>
  </si>
  <si>
    <t>8-10</t>
  </si>
  <si>
    <t>12-20</t>
  </si>
  <si>
    <t>M7000013</t>
  </si>
  <si>
    <t>M7000014</t>
  </si>
  <si>
    <t>M7000015</t>
  </si>
  <si>
    <t>M7000016</t>
  </si>
  <si>
    <t>M7000017</t>
  </si>
  <si>
    <t>M7000018</t>
  </si>
  <si>
    <t>2-6</t>
  </si>
  <si>
    <t>8-12</t>
  </si>
  <si>
    <t xml:space="preserve">Handwheel Keys </t>
  </si>
  <si>
    <t>(Pack of 10)</t>
  </si>
  <si>
    <t>2-3</t>
  </si>
  <si>
    <t>4-14</t>
  </si>
  <si>
    <t>16-32</t>
  </si>
  <si>
    <t>36-48</t>
  </si>
  <si>
    <t>2-10</t>
  </si>
  <si>
    <t>12-24</t>
  </si>
  <si>
    <t>28-48</t>
  </si>
  <si>
    <t>Lever Handle Kit</t>
  </si>
  <si>
    <t>Gear Operator Kit</t>
  </si>
  <si>
    <t>Accessories</t>
  </si>
  <si>
    <t>ALL</t>
  </si>
  <si>
    <t>Chainwheel Operator</t>
  </si>
  <si>
    <t>14-20</t>
  </si>
  <si>
    <t>24-36</t>
  </si>
  <si>
    <t>8-20</t>
  </si>
  <si>
    <t>0523042</t>
  </si>
  <si>
    <t>0523046</t>
  </si>
  <si>
    <t>0523047</t>
  </si>
  <si>
    <t>0523048</t>
  </si>
  <si>
    <t>0523065</t>
  </si>
  <si>
    <t>0523066</t>
  </si>
  <si>
    <t>0523067</t>
  </si>
  <si>
    <t>50-150</t>
  </si>
  <si>
    <t>200-300</t>
  </si>
  <si>
    <t>350-500</t>
  </si>
  <si>
    <t>600-900</t>
  </si>
  <si>
    <t>200-500</t>
  </si>
  <si>
    <t>200-350</t>
  </si>
  <si>
    <t>400-600</t>
  </si>
  <si>
    <t>50-100</t>
  </si>
  <si>
    <t>125-150</t>
  </si>
  <si>
    <t>200-250</t>
  </si>
  <si>
    <t>300-500</t>
  </si>
  <si>
    <t>28-40</t>
  </si>
  <si>
    <t>50-80</t>
  </si>
  <si>
    <t>100-250</t>
  </si>
  <si>
    <t>400-800</t>
  </si>
  <si>
    <t>900-1200</t>
  </si>
  <si>
    <t>50-250</t>
  </si>
  <si>
    <t>300-600</t>
  </si>
  <si>
    <t>700-1200</t>
  </si>
  <si>
    <t>#2 CHAIN WHEEL 2-6 CIRG-1.5</t>
  </si>
  <si>
    <t>#3 BCWK 8-14 CHAIN WHEEL LESS CHAIN</t>
  </si>
  <si>
    <t>#4 CHAIN WHEEL 14-20 CIRG-3.5</t>
  </si>
  <si>
    <t>#5 CHAIN WHEEL 24-36 CIRG-4.5</t>
  </si>
  <si>
    <t>#2 BCWC/FT CHAIN WHEEL CHAIN</t>
  </si>
  <si>
    <t>#3 BCWC/FT CHAIN WHEEL CHAIN</t>
  </si>
  <si>
    <t>#5 BCWC/FT CHAIN WHEEL CHAIN</t>
  </si>
  <si>
    <t xml:space="preserve">4-6 GO HNDWHL 88IHH65 </t>
  </si>
  <si>
    <t xml:space="preserve">8-14 GO HNDWHL 88IHH65 </t>
  </si>
  <si>
    <t xml:space="preserve">16-24 GO HNDWHL 88IHH65 </t>
  </si>
  <si>
    <t xml:space="preserve">2-4 GO HNDWHL 90CHH65 </t>
  </si>
  <si>
    <t xml:space="preserve">5-6 GO HNDWHL 90CHH65 </t>
  </si>
  <si>
    <t xml:space="preserve">8-10 GO HNDWHL 90CHH65 </t>
  </si>
  <si>
    <t xml:space="preserve">12-20 GO HNDWHL 90CHH65 </t>
  </si>
  <si>
    <t xml:space="preserve">24 GO HNDWHL 90CHH65 </t>
  </si>
  <si>
    <t xml:space="preserve">28-40 GO HNDWHL 90CHH65 </t>
  </si>
  <si>
    <t xml:space="preserve">GEAR OP, 2-6 94SHH85 </t>
  </si>
  <si>
    <t xml:space="preserve">GEAR OP, 8-10 94SHH85 </t>
  </si>
  <si>
    <t>HNDWHL KEY, 2-3 88IHH65 PACK OF 10</t>
  </si>
  <si>
    <t>HNDWHL KEY, 4-14 88IHH65 PACK OF 10</t>
  </si>
  <si>
    <t>HNDWHL KEY, 16-32 88IHH6 PACK OF 10</t>
  </si>
  <si>
    <t>HNDWHL KEY, 36-48 88IHH6 PACK OF 10</t>
  </si>
  <si>
    <t>HNDWHL KEY, 2-10 90CHH65 PACK OF 10</t>
  </si>
  <si>
    <t>HNDWHL KEY, 12-24 90CHH6 PACK OF 10</t>
  </si>
  <si>
    <t>HNDWHL KEY, 28-48 90CHH6 PACK OF 10</t>
  </si>
  <si>
    <t xml:space="preserve">LVR KIT, 2-4 94SHH85 </t>
  </si>
  <si>
    <t xml:space="preserve">LVR KIT, 6 94SHH85 </t>
  </si>
  <si>
    <t xml:space="preserve">GEAR OP, 12 94SHH85 </t>
  </si>
  <si>
    <t>HNDWHL, 2-6 94SHH85</t>
  </si>
  <si>
    <t>HNDWHL, 8-12 94SHH85</t>
  </si>
  <si>
    <t>M7000001</t>
  </si>
  <si>
    <t>M7000011</t>
  </si>
  <si>
    <t>M7000012</t>
  </si>
  <si>
    <t>M7000008</t>
  </si>
  <si>
    <t>M7000009</t>
  </si>
  <si>
    <t>M7000010</t>
  </si>
  <si>
    <t>M7000006</t>
  </si>
  <si>
    <t>M7000005</t>
  </si>
  <si>
    <t>M7000004</t>
  </si>
  <si>
    <t>M7000002</t>
  </si>
  <si>
    <t>GEARBOX, 6 88IHH65</t>
  </si>
  <si>
    <t>GEARBOX, 4 88IHH65</t>
  </si>
  <si>
    <t>GEARBOX, 8 88IHH65</t>
  </si>
  <si>
    <t>GEARBOX, 10 88IHH65</t>
  </si>
  <si>
    <t>GEARBOX, 12 88IHH65</t>
  </si>
  <si>
    <t>GEARBOX, 14 88IHH65</t>
  </si>
  <si>
    <t>GEARBOX, 16 88IHH65</t>
  </si>
  <si>
    <t>GEARBOX, 18 88IHH65</t>
  </si>
  <si>
    <t>GEARBOX, 20 88IHH65</t>
  </si>
  <si>
    <t>GEARBOX, 24 88IHH65</t>
  </si>
  <si>
    <t>M6710397</t>
  </si>
  <si>
    <t>M6710389</t>
  </si>
  <si>
    <t>M6710699</t>
  </si>
  <si>
    <t>M6710231</t>
  </si>
  <si>
    <t>M6710232</t>
  </si>
  <si>
    <t>Screens - 1/16" Perf</t>
  </si>
  <si>
    <t>Screens - 1/8" Perf</t>
  </si>
  <si>
    <t>M6710722</t>
  </si>
  <si>
    <t>M6710923</t>
  </si>
  <si>
    <t>M6710600</t>
  </si>
  <si>
    <t>M6710675</t>
  </si>
  <si>
    <t>M6710721</t>
  </si>
  <si>
    <t>M6710564</t>
  </si>
  <si>
    <t>M6714066</t>
  </si>
  <si>
    <t>M6712788</t>
  </si>
  <si>
    <t>M6714030</t>
  </si>
  <si>
    <t>M6712273</t>
  </si>
  <si>
    <t>M6716750</t>
  </si>
  <si>
    <t>1/16" PF SS BSK (3/4" &amp; 1" 791/792/794/796)</t>
  </si>
  <si>
    <t>1/16" PF SS BSK (1-1/4" &amp; 1-1/2" 791/792/794/796)</t>
  </si>
  <si>
    <t>1/16" PF SS BSK (2" 791/792/794/796)</t>
  </si>
  <si>
    <t>1/16" PF SS BSK (2-1/2" &amp; 3" 791/792/794/796)</t>
  </si>
  <si>
    <t>1/16" PF SS BSK (4" 791/792/794/796)</t>
  </si>
  <si>
    <t>1/8" PF SS BSK (5" &amp; 6" 791/792/794/796)</t>
  </si>
  <si>
    <t>1/8" PF SS BSKT (8" FLG 691/692)</t>
  </si>
  <si>
    <t>1/8" PF SS BSK (10" 691/692)</t>
  </si>
  <si>
    <t>1/8" PF SS BSKT (12" FLG 691/692)</t>
  </si>
  <si>
    <t>1/8" PF SS BSK (14" 691/692)</t>
  </si>
  <si>
    <t>1/8" PF SS BSK (16" 691/692)</t>
  </si>
  <si>
    <t>Effective : January 19, 2026</t>
  </si>
  <si>
    <t>REV 20260722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</si>
</sst>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.0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1"/>
      <color rgb="FF231F2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31F2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A"/>
      </patternFill>
    </fill>
    <fill>
      <patternFill patternType="solid">
        <fgColor rgb="FFD3D9E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0">
    <xf numFmtId="0" fontId="0" fillId="0" borderId="0" xfId="0"/>
    <xf numFmtId="0" fontId="7" fillId="0" borderId="0" xfId="0" applyFont="1"/>
    <xf numFmtId="49" fontId="9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9" fillId="0" borderId="0" xfId="2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49" fontId="13" fillId="0" borderId="0" xfId="4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1" fontId="7" fillId="0" borderId="0" xfId="0" applyNumberFormat="1" applyFont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44" fontId="7" fillId="3" borderId="0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44" fontId="7" fillId="0" borderId="3" xfId="2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44" fontId="10" fillId="4" borderId="2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/>
      <protection locked="0"/>
    </xf>
    <xf numFmtId="1" fontId="7" fillId="0" borderId="7" xfId="0" applyNumberFormat="1" applyFont="1" applyBorder="1" applyAlignment="1" applyProtection="1">
      <alignment horizontal="left"/>
      <protection locked="0"/>
    </xf>
    <xf numFmtId="0" fontId="12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4" fontId="7" fillId="0" borderId="9" xfId="2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2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44" fontId="7" fillId="5" borderId="9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4" fontId="10" fillId="4" borderId="5" xfId="2" applyFont="1" applyFill="1" applyBorder="1" applyAlignment="1">
      <alignment horizontal="center" vertical="top" wrapText="1"/>
    </xf>
    <xf numFmtId="44" fontId="7" fillId="5" borderId="4" xfId="2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/>
      <protection locked="0"/>
    </xf>
    <xf numFmtId="44" fontId="7" fillId="0" borderId="4" xfId="2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9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Protection="1">
      <protection locked="0"/>
    </xf>
    <xf numFmtId="44" fontId="19" fillId="0" borderId="0" xfId="2" applyFont="1" applyFill="1" applyBorder="1" applyAlignment="1" applyProtection="1">
      <alignment horizontal="center"/>
      <protection locked="0"/>
    </xf>
    <xf numFmtId="49" fontId="20" fillId="0" borderId="0" xfId="4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2" fontId="7" fillId="0" borderId="4" xfId="0" applyNumberFormat="1" applyFont="1" applyBorder="1" applyAlignment="1" applyProtection="1">
      <alignment horizontal="center" vertical="center"/>
      <protection locked="0"/>
    </xf>
    <xf numFmtId="12" fontId="7" fillId="0" borderId="4" xfId="0" applyNumberFormat="1" applyFont="1" applyBorder="1" applyAlignment="1" applyProtection="1">
      <alignment horizontal="center"/>
      <protection locked="0"/>
    </xf>
    <xf numFmtId="1" fontId="7" fillId="0" borderId="10" xfId="0" applyNumberFormat="1" applyFont="1" applyBorder="1" applyAlignment="1" applyProtection="1">
      <alignment horizontal="left"/>
      <protection locked="0"/>
    </xf>
    <xf numFmtId="12" fontId="7" fillId="0" borderId="9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/>
    </xf>
    <xf numFmtId="0" fontId="22" fillId="0" borderId="0" xfId="0" applyFont="1"/>
    <xf numFmtId="12" fontId="7" fillId="0" borderId="4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vertical="center"/>
    </xf>
    <xf numFmtId="12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7" fillId="5" borderId="9" xfId="0" applyFont="1" applyFill="1" applyBorder="1" applyAlignment="1">
      <alignment horizontal="center" vertical="top" wrapText="1"/>
    </xf>
    <xf numFmtId="165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11" fillId="5" borderId="5" xfId="0" applyFont="1" applyFill="1" applyBorder="1" applyAlignment="1">
      <alignment vertical="top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2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44" fontId="19" fillId="0" borderId="0" xfId="2" applyFont="1" applyAlignment="1" applyProtection="1">
      <alignment horizontal="center"/>
      <protection locked="0"/>
    </xf>
    <xf numFmtId="0" fontId="9" fillId="4" borderId="1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44" fontId="7" fillId="5" borderId="5" xfId="2" applyFont="1" applyFill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2" applyNumberFormat="1" applyFont="1" applyBorder="1" applyAlignment="1" applyProtection="1">
      <alignment horizontal="center"/>
      <protection locked="0"/>
    </xf>
    <xf numFmtId="49" fontId="20" fillId="0" borderId="0" xfId="4" applyNumberFormat="1" applyFont="1" applyAlignment="1" applyProtection="1">
      <alignment horizontal="center"/>
      <protection locked="0"/>
    </xf>
    <xf numFmtId="12" fontId="7" fillId="0" borderId="0" xfId="0" applyNumberFormat="1" applyFont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/>
      <protection locked="0"/>
    </xf>
    <xf numFmtId="49" fontId="13" fillId="0" borderId="0" xfId="4" applyNumberFormat="1" applyFont="1" applyAlignment="1" applyProtection="1">
      <alignment horizontal="center"/>
      <protection locked="0"/>
    </xf>
    <xf numFmtId="44" fontId="7" fillId="0" borderId="3" xfId="2" applyFont="1" applyBorder="1" applyAlignment="1" applyProtection="1">
      <alignment horizontal="center"/>
      <protection locked="0"/>
    </xf>
    <xf numFmtId="44" fontId="7" fillId="0" borderId="1" xfId="2" applyFont="1" applyBorder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7" fillId="0" borderId="4" xfId="2" applyNumberFormat="1" applyFont="1" applyBorder="1" applyAlignment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center" vertical="top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1" fontId="7" fillId="0" borderId="13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0" fillId="0" borderId="6" xfId="0" applyBorder="1"/>
    <xf numFmtId="12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center"/>
      <protection locked="0"/>
    </xf>
    <xf numFmtId="0" fontId="1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vertical="top" wrapText="1"/>
    </xf>
    <xf numFmtId="1" fontId="7" fillId="0" borderId="15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10" xfId="0" applyBorder="1"/>
    <xf numFmtId="1" fontId="7" fillId="0" borderId="1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vertical="top" wrapText="1"/>
    </xf>
    <xf numFmtId="0" fontId="7" fillId="0" borderId="8" xfId="2" applyNumberFormat="1" applyFont="1" applyBorder="1" applyAlignment="1" applyProtection="1">
      <alignment horizontal="center"/>
      <protection locked="0"/>
    </xf>
    <xf numFmtId="44" fontId="7" fillId="5" borderId="15" xfId="2" applyFont="1" applyFill="1" applyBorder="1" applyAlignment="1">
      <alignment horizontal="center" vertical="top" wrapText="1"/>
    </xf>
    <xf numFmtId="0" fontId="0" fillId="0" borderId="12" xfId="0" applyBorder="1"/>
    <xf numFmtId="0" fontId="12" fillId="4" borderId="14" xfId="0" applyFont="1" applyFill="1" applyBorder="1" applyAlignment="1">
      <alignment vertical="top" wrapText="1"/>
    </xf>
    <xf numFmtId="44" fontId="7" fillId="0" borderId="0" xfId="0" applyNumberFormat="1" applyFont="1"/>
    <xf numFmtId="0" fontId="7" fillId="0" borderId="0" xfId="2" applyNumberFormat="1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1" fontId="7" fillId="0" borderId="11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2" borderId="0" xfId="0" applyFont="1" applyFill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4" fontId="26" fillId="0" borderId="0" xfId="2" applyFont="1" applyAlignment="1" applyProtection="1">
      <alignment horizontal="center"/>
      <protection locked="0"/>
    </xf>
    <xf numFmtId="49" fontId="27" fillId="0" borderId="0" xfId="4" applyNumberFormat="1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9" fillId="4" borderId="14" xfId="0" applyFont="1" applyFill="1" applyBorder="1" applyAlignment="1">
      <alignment vertical="top" wrapText="1"/>
    </xf>
    <xf numFmtId="0" fontId="29" fillId="4" borderId="5" xfId="0" applyFont="1" applyFill="1" applyBorder="1" applyAlignment="1">
      <alignment horizontal="center" vertical="top" wrapText="1"/>
    </xf>
    <xf numFmtId="44" fontId="31" fillId="4" borderId="2" xfId="2" applyFont="1" applyFill="1" applyBorder="1" applyAlignment="1">
      <alignment horizontal="center" vertical="top" wrapText="1"/>
    </xf>
    <xf numFmtId="0" fontId="32" fillId="5" borderId="5" xfId="0" applyFont="1" applyFill="1" applyBorder="1" applyAlignment="1">
      <alignment vertical="top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44" fontId="26" fillId="5" borderId="9" xfId="2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center"/>
      <protection locked="0"/>
    </xf>
    <xf numFmtId="12" fontId="26" fillId="0" borderId="4" xfId="0" applyNumberFormat="1" applyFont="1" applyBorder="1" applyAlignment="1" applyProtection="1">
      <alignment horizontal="center" vertical="center"/>
      <protection locked="0"/>
    </xf>
    <xf numFmtId="0" fontId="26" fillId="0" borderId="4" xfId="2" applyNumberFormat="1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8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3" fillId="0" borderId="0" xfId="0" applyFont="1"/>
    <xf numFmtId="0" fontId="33" fillId="5" borderId="4" xfId="0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center"/>
      <protection locked="0"/>
    </xf>
    <xf numFmtId="0" fontId="32" fillId="5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>
      <alignment horizontal="center" vertical="top" wrapText="1"/>
    </xf>
    <xf numFmtId="12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/>
      <protection locked="0"/>
    </xf>
    <xf numFmtId="12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2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vertical="top" wrapText="1"/>
    </xf>
    <xf numFmtId="44" fontId="26" fillId="0" borderId="0" xfId="2" applyFont="1" applyAlignment="1">
      <alignment horizontal="center"/>
    </xf>
    <xf numFmtId="0" fontId="34" fillId="0" borderId="0" xfId="0" applyFont="1" applyAlignment="1">
      <alignment vertical="top"/>
    </xf>
    <xf numFmtId="0" fontId="29" fillId="4" borderId="5" xfId="0" applyFont="1" applyFill="1" applyBorder="1" applyAlignment="1">
      <alignment vertical="top" wrapText="1"/>
    </xf>
    <xf numFmtId="0" fontId="30" fillId="4" borderId="5" xfId="0" applyFont="1" applyFill="1" applyBorder="1" applyAlignment="1">
      <alignment vertical="top" wrapText="1"/>
    </xf>
    <xf numFmtId="0" fontId="31" fillId="4" borderId="5" xfId="0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vertical="top" wrapText="1"/>
    </xf>
    <xf numFmtId="1" fontId="26" fillId="0" borderId="6" xfId="0" applyNumberFormat="1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4" fontId="26" fillId="0" borderId="4" xfId="2" applyFont="1" applyBorder="1" applyAlignment="1">
      <alignment horizontal="center"/>
    </xf>
    <xf numFmtId="0" fontId="35" fillId="0" borderId="0" xfId="0" applyFont="1" applyAlignment="1">
      <alignment vertical="top"/>
    </xf>
    <xf numFmtId="49" fontId="36" fillId="0" borderId="0" xfId="0" applyNumberFormat="1" applyFont="1" applyAlignment="1" applyProtection="1">
      <alignment horizontal="center"/>
      <protection locked="0"/>
    </xf>
    <xf numFmtId="49" fontId="36" fillId="0" borderId="0" xfId="0" applyNumberFormat="1" applyFont="1" applyProtection="1">
      <protection locked="0"/>
    </xf>
    <xf numFmtId="44" fontId="36" fillId="0" borderId="0" xfId="2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44" fontId="31" fillId="4" borderId="5" xfId="2" applyFont="1" applyFill="1" applyBorder="1" applyAlignment="1">
      <alignment horizontal="center" vertical="top" wrapText="1"/>
    </xf>
    <xf numFmtId="44" fontId="26" fillId="5" borderId="4" xfId="2" applyFont="1" applyFill="1" applyBorder="1" applyAlignment="1">
      <alignment horizontal="center" vertical="top" wrapText="1"/>
    </xf>
    <xf numFmtId="12" fontId="26" fillId="0" borderId="4" xfId="0" applyNumberFormat="1" applyFont="1" applyBorder="1" applyAlignment="1">
      <alignment horizontal="center"/>
    </xf>
    <xf numFmtId="1" fontId="26" fillId="0" borderId="4" xfId="2" applyNumberFormat="1" applyFont="1" applyBorder="1" applyAlignment="1" applyProtection="1">
      <alignment horizontal="center"/>
      <protection locked="0"/>
    </xf>
    <xf numFmtId="1" fontId="26" fillId="0" borderId="10" xfId="0" applyNumberFormat="1" applyFont="1" applyBorder="1" applyAlignment="1" applyProtection="1">
      <alignment horizontal="left"/>
      <protection locked="0"/>
    </xf>
    <xf numFmtId="12" fontId="26" fillId="0" borderId="9" xfId="0" applyNumberFormat="1" applyFont="1" applyBorder="1" applyAlignment="1" applyProtection="1">
      <alignment horizontal="center" vertical="center"/>
      <protection locked="0"/>
    </xf>
    <xf numFmtId="1" fontId="26" fillId="0" borderId="7" xfId="0" applyNumberFormat="1" applyFont="1" applyBorder="1" applyAlignment="1" applyProtection="1">
      <alignment horizontal="left"/>
      <protection locked="0"/>
    </xf>
    <xf numFmtId="1" fontId="7" fillId="0" borderId="6" xfId="0" applyNumberFormat="1" applyFont="1" applyBorder="1" applyAlignment="1" applyProtection="1">
      <alignment horizontal="left" wrapText="1"/>
      <protection locked="0"/>
    </xf>
    <xf numFmtId="0" fontId="37" fillId="0" borderId="0" xfId="0" applyFont="1"/>
    <xf numFmtId="1" fontId="7" fillId="0" borderId="4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7" fillId="0" borderId="11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/>
      <protection locked="0"/>
    </xf>
    <xf numFmtId="16" fontId="7" fillId="0" borderId="7" xfId="0" applyNumberFormat="1" applyFont="1" applyBorder="1" applyAlignment="1" applyProtection="1">
      <alignment horizontal="center"/>
      <protection locked="0"/>
    </xf>
    <xf numFmtId="1" fontId="7" fillId="0" borderId="5" xfId="2" applyNumberFormat="1" applyFont="1" applyFill="1" applyBorder="1" applyAlignment="1" applyProtection="1">
      <alignment horizontal="center"/>
      <protection locked="0"/>
    </xf>
    <xf numFmtId="1" fontId="7" fillId="0" borderId="5" xfId="2" applyNumberFormat="1" applyFont="1" applyBorder="1" applyAlignment="1" applyProtection="1">
      <alignment horizontal="center"/>
      <protection locked="0"/>
    </xf>
    <xf numFmtId="0" fontId="38" fillId="0" borderId="0" xfId="0" applyFont="1"/>
    <xf numFmtId="0" fontId="23" fillId="0" borderId="0" xfId="0" applyFont="1" applyAlignment="1">
      <alignment horizontal="right"/>
    </xf>
    <xf numFmtId="0" fontId="7" fillId="0" borderId="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vertical="top" wrapText="1"/>
    </xf>
    <xf numFmtId="1" fontId="7" fillId="0" borderId="6" xfId="0" applyNumberFormat="1" applyFont="1" applyBorder="1" applyAlignment="1" applyProtection="1">
      <alignment horizontal="left"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/>
      <protection locked="0"/>
    </xf>
    <xf numFmtId="0" fontId="7" fillId="0" borderId="4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41" fillId="0" borderId="0" xfId="0" applyFont="1"/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9" fontId="7" fillId="0" borderId="0" xfId="10" applyFont="1"/>
    <xf numFmtId="9" fontId="19" fillId="0" borderId="0" xfId="10" applyFont="1"/>
    <xf numFmtId="49" fontId="41" fillId="0" borderId="0" xfId="0" applyNumberFormat="1" applyFont="1"/>
    <xf numFmtId="0" fontId="41" fillId="0" borderId="3" xfId="0" applyFont="1" applyBorder="1"/>
    <xf numFmtId="0" fontId="41" fillId="0" borderId="11" xfId="0" applyFont="1" applyBorder="1"/>
    <xf numFmtId="0" fontId="11" fillId="0" borderId="0" xfId="0" applyFont="1"/>
    <xf numFmtId="0" fontId="44" fillId="0" borderId="0" xfId="0" applyFont="1"/>
    <xf numFmtId="44" fontId="0" fillId="0" borderId="0" xfId="2" applyFont="1"/>
    <xf numFmtId="0" fontId="5" fillId="0" borderId="0" xfId="4"/>
    <xf numFmtId="44" fontId="7" fillId="0" borderId="4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0" fillId="4" borderId="5" xfId="2" applyNumberFormat="1" applyFont="1" applyFill="1" applyBorder="1" applyAlignment="1">
      <alignment horizontal="center" vertical="top" wrapText="1"/>
    </xf>
    <xf numFmtId="0" fontId="7" fillId="5" borderId="4" xfId="2" applyNumberFormat="1" applyFont="1" applyFill="1" applyBorder="1" applyAlignment="1">
      <alignment horizontal="center" vertical="top" wrapText="1"/>
    </xf>
    <xf numFmtId="0" fontId="5" fillId="0" borderId="0" xfId="4" quotePrefix="1"/>
    <xf numFmtId="0" fontId="15" fillId="0" borderId="0" xfId="0" applyFont="1" applyAlignment="1">
      <alignment vertical="top"/>
    </xf>
    <xf numFmtId="44" fontId="0" fillId="0" borderId="0" xfId="0" applyNumberFormat="1"/>
    <xf numFmtId="49" fontId="45" fillId="0" borderId="0" xfId="0" applyNumberFormat="1" applyFont="1" applyAlignment="1" applyProtection="1">
      <alignment horizontal="center"/>
      <protection locked="0"/>
    </xf>
    <xf numFmtId="49" fontId="45" fillId="0" borderId="0" xfId="0" applyNumberFormat="1" applyFont="1" applyProtection="1">
      <protection locked="0"/>
    </xf>
    <xf numFmtId="44" fontId="45" fillId="0" borderId="0" xfId="2" applyFont="1" applyFill="1" applyBorder="1" applyAlignment="1" applyProtection="1">
      <alignment horizontal="center"/>
      <protection locked="0"/>
    </xf>
    <xf numFmtId="49" fontId="46" fillId="0" borderId="0" xfId="4" applyNumberFormat="1" applyFont="1" applyFill="1" applyBorder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44" fontId="45" fillId="0" borderId="0" xfId="2" applyFont="1" applyAlignment="1">
      <alignment horizontal="center"/>
    </xf>
    <xf numFmtId="0" fontId="45" fillId="0" borderId="0" xfId="0" applyFont="1"/>
    <xf numFmtId="0" fontId="45" fillId="0" borderId="0" xfId="0" applyFont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45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7" fillId="0" borderId="0" xfId="0" applyFont="1"/>
    <xf numFmtId="0" fontId="48" fillId="0" borderId="0" xfId="0" applyFont="1" applyAlignment="1">
      <alignment vertical="top" wrapText="1"/>
    </xf>
    <xf numFmtId="44" fontId="45" fillId="0" borderId="0" xfId="2" applyFont="1" applyAlignment="1" applyProtection="1">
      <alignment horizontal="center"/>
      <protection locked="0"/>
    </xf>
    <xf numFmtId="49" fontId="46" fillId="0" borderId="0" xfId="4" applyNumberFormat="1" applyFont="1" applyAlignment="1" applyProtection="1">
      <alignment horizontal="center"/>
      <protection locked="0"/>
    </xf>
    <xf numFmtId="0" fontId="43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39" fillId="0" borderId="0" xfId="0" applyFont="1"/>
    <xf numFmtId="0" fontId="40" fillId="0" borderId="0" xfId="0" applyFont="1"/>
    <xf numFmtId="0" fontId="31" fillId="4" borderId="4" xfId="0" applyFont="1" applyFill="1" applyBorder="1" applyAlignment="1">
      <alignment horizontal="center" vertical="top" wrapText="1"/>
    </xf>
    <xf numFmtId="0" fontId="5" fillId="0" borderId="0" xfId="4" applyFill="1"/>
    <xf numFmtId="44" fontId="41" fillId="0" borderId="0" xfId="0" applyNumberFormat="1" applyFont="1"/>
    <xf numFmtId="0" fontId="0" fillId="0" borderId="0" xfId="0" applyAlignment="1">
      <alignment horizontal="center"/>
    </xf>
    <xf numFmtId="0" fontId="10" fillId="4" borderId="14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2" fontId="7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2" fontId="7" fillId="0" borderId="15" xfId="0" applyNumberFormat="1" applyFont="1" applyBorder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top"/>
    </xf>
    <xf numFmtId="166" fontId="32" fillId="0" borderId="4" xfId="2" applyNumberFormat="1" applyFont="1" applyFill="1" applyBorder="1" applyAlignment="1">
      <alignment horizontal="center" vertical="top" wrapText="1"/>
    </xf>
    <xf numFmtId="166" fontId="11" fillId="0" borderId="4" xfId="2" applyNumberFormat="1" applyFont="1" applyFill="1" applyBorder="1" applyAlignment="1">
      <alignment horizontal="center" vertical="top" wrapText="1"/>
    </xf>
    <xf numFmtId="9" fontId="32" fillId="0" borderId="5" xfId="0" applyNumberFormat="1" applyFont="1" applyBorder="1" applyAlignment="1">
      <alignment horizontal="center" vertical="top" wrapText="1"/>
    </xf>
    <xf numFmtId="9" fontId="3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0" fontId="49" fillId="0" borderId="0" xfId="0" applyFont="1" applyAlignment="1">
      <alignment vertical="top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44" fontId="7" fillId="0" borderId="4" xfId="2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23" fillId="0" borderId="16" xfId="0" applyFont="1" applyBorder="1"/>
    <xf numFmtId="44" fontId="23" fillId="0" borderId="17" xfId="2" applyFont="1" applyBorder="1"/>
    <xf numFmtId="0" fontId="23" fillId="0" borderId="17" xfId="0" applyFont="1" applyBorder="1"/>
    <xf numFmtId="0" fontId="23" fillId="0" borderId="18" xfId="0" applyFont="1" applyBorder="1"/>
    <xf numFmtId="0" fontId="48" fillId="0" borderId="0" xfId="0" applyFont="1" applyAlignment="1">
      <alignment vertical="top"/>
    </xf>
    <xf numFmtId="1" fontId="50" fillId="0" borderId="6" xfId="0" applyNumberFormat="1" applyFont="1" applyBorder="1" applyAlignment="1" applyProtection="1">
      <alignment horizontal="left"/>
      <protection locked="0"/>
    </xf>
    <xf numFmtId="0" fontId="10" fillId="4" borderId="5" xfId="0" applyFont="1" applyFill="1" applyBorder="1" applyAlignment="1">
      <alignment vertical="top" wrapText="1"/>
    </xf>
    <xf numFmtId="1" fontId="7" fillId="0" borderId="1" xfId="2" applyNumberFormat="1" applyFont="1" applyFill="1" applyBorder="1" applyAlignment="1" applyProtection="1">
      <alignment horizontal="center"/>
      <protection locked="0"/>
    </xf>
    <xf numFmtId="1" fontId="7" fillId="0" borderId="6" xfId="0" applyNumberFormat="1" applyFont="1" applyBorder="1" applyAlignment="1" applyProtection="1">
      <alignment horizontal="center"/>
      <protection locked="0"/>
    </xf>
    <xf numFmtId="44" fontId="7" fillId="0" borderId="1" xfId="2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4" xfId="0" quotePrefix="1" applyNumberFormat="1" applyFont="1" applyBorder="1" applyAlignment="1" applyProtection="1">
      <alignment horizontal="center" vertical="center"/>
      <protection locked="0"/>
    </xf>
    <xf numFmtId="12" fontId="7" fillId="0" borderId="4" xfId="0" quotePrefix="1" applyNumberFormat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7" fillId="0" borderId="4" xfId="2" quotePrefix="1" applyNumberFormat="1" applyFont="1" applyBorder="1" applyAlignment="1" applyProtection="1">
      <alignment horizontal="center"/>
      <protection locked="0"/>
    </xf>
    <xf numFmtId="12" fontId="7" fillId="0" borderId="5" xfId="0" quotePrefix="1" applyNumberFormat="1" applyFont="1" applyBorder="1" applyAlignment="1" applyProtection="1">
      <alignment horizontal="center" vertical="center"/>
      <protection locked="0"/>
    </xf>
    <xf numFmtId="12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NumberFormat="1" applyFont="1" applyBorder="1" applyAlignment="1" applyProtection="1">
      <alignment horizontal="center"/>
      <protection locked="0"/>
    </xf>
    <xf numFmtId="0" fontId="0" fillId="0" borderId="0" xfId="0" quotePrefix="1"/>
    <xf numFmtId="16" fontId="7" fillId="0" borderId="9" xfId="0" quotePrefix="1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center" vertical="top" wrapText="1"/>
    </xf>
    <xf numFmtId="0" fontId="29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</cellXfs>
  <cellStyles count="11">
    <cellStyle name="Comma 2" xfId="1" xr:uid="{00000000-0005-0000-0000-000000000000}"/>
    <cellStyle name="Currency" xfId="2" builtinId="4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6" xfId="7" xr:uid="{00000000-0005-0000-0000-000007000000}"/>
    <cellStyle name="Normale_New products" xfId="8" xr:uid="{00000000-0005-0000-0000-000008000000}"/>
    <cellStyle name="Percent" xfId="10" builtinId="5"/>
    <cellStyle name="Percent 2" xfId="9" xr:uid="{00000000-0005-0000-0000-000009000000}"/>
  </cellStyles>
  <dxfs count="1305"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485029</xdr:colOff>
      <xdr:row>44</xdr:row>
      <xdr:rowOff>124708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E5BFD-DD1F-567F-3FEB-B7F37A96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71429" cy="817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58</xdr:row>
      <xdr:rowOff>160279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7666-CCF8-48D6-B02A-D5D6FEE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58350" cy="10656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14</xdr:col>
      <xdr:colOff>466725</xdr:colOff>
      <xdr:row>76</xdr:row>
      <xdr:rowOff>16329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494DC7-3F0E-4353-A0C1-F162D13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9667875" cy="309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BD-C934-4C91-ABE5-9054A232F09F}">
  <sheetPr codeName="Sheet19"/>
  <dimension ref="K3:K46"/>
  <sheetViews>
    <sheetView showGridLines="0" tabSelected="1" zoomScaleNormal="100" workbookViewId="0">
      <selection activeCell="K46" sqref="K46"/>
    </sheetView>
  </sheetViews>
  <sheetFormatPr defaultRowHeight="15" x14ac:dyDescent="0.25"/>
  <cols>
    <col min="11" max="11" width="28.140625" bestFit="1" customWidth="1"/>
  </cols>
  <sheetData>
    <row r="3" spans="11:11" x14ac:dyDescent="0.25">
      <c r="K3" s="176" t="s">
        <v>6367</v>
      </c>
    </row>
    <row r="46" spans="11:11" x14ac:dyDescent="0.25">
      <c r="K46" s="176" t="s">
        <v>6368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721-8005-4408-A3B7-380A57481F80}">
  <sheetPr codeName="Sheet10"/>
  <dimension ref="A1:M352"/>
  <sheetViews>
    <sheetView showGridLines="0" zoomScale="90" zoomScaleNormal="90" workbookViewId="0"/>
  </sheetViews>
  <sheetFormatPr defaultRowHeight="15" x14ac:dyDescent="0.25"/>
  <cols>
    <col min="1" max="1" width="17.5703125" customWidth="1"/>
    <col min="2" max="2" width="21.85546875" bestFit="1" customWidth="1"/>
    <col min="3" max="3" width="11.140625" customWidth="1"/>
    <col min="5" max="5" width="10.7109375" customWidth="1"/>
    <col min="6" max="6" width="11.140625" customWidth="1"/>
    <col min="9" max="9" width="11.28515625" bestFit="1" customWidth="1"/>
    <col min="10" max="11" width="12" bestFit="1" customWidth="1"/>
    <col min="12" max="12" width="10.5703125" bestFit="1" customWidth="1"/>
    <col min="13" max="13" width="13" bestFit="1" customWidth="1"/>
  </cols>
  <sheetData>
    <row r="1" spans="1:12" x14ac:dyDescent="0.25">
      <c r="A1" s="255" t="s">
        <v>5540</v>
      </c>
    </row>
    <row r="2" spans="1:12" ht="15.75" x14ac:dyDescent="0.25">
      <c r="A2" s="62" t="s">
        <v>1789</v>
      </c>
      <c r="B2" s="62" t="s">
        <v>647</v>
      </c>
      <c r="C2" s="93"/>
      <c r="D2" s="3"/>
      <c r="E2" s="8"/>
      <c r="F2" s="9"/>
      <c r="G2" s="10"/>
      <c r="H2" s="19"/>
      <c r="I2" s="19"/>
      <c r="J2" s="20"/>
    </row>
    <row r="3" spans="1:12" x14ac:dyDescent="0.25">
      <c r="A3" s="56" t="s">
        <v>5566</v>
      </c>
      <c r="B3" s="11"/>
      <c r="C3" s="4"/>
      <c r="D3" s="4"/>
      <c r="E3" s="5"/>
      <c r="F3" s="9"/>
      <c r="G3" s="4"/>
      <c r="H3" s="19"/>
      <c r="I3" s="19"/>
      <c r="J3" s="20"/>
    </row>
    <row r="4" spans="1:12" ht="24" x14ac:dyDescent="0.25">
      <c r="A4" s="25" t="s">
        <v>35</v>
      </c>
      <c r="B4" s="28" t="s">
        <v>36</v>
      </c>
      <c r="C4" s="333" t="s">
        <v>37</v>
      </c>
      <c r="D4" s="334"/>
      <c r="E4" s="335" t="s">
        <v>38</v>
      </c>
      <c r="F4" s="336"/>
      <c r="G4" s="335" t="s">
        <v>39</v>
      </c>
      <c r="H4" s="336"/>
      <c r="I4" s="29" t="s">
        <v>1271</v>
      </c>
      <c r="J4" s="24" t="s">
        <v>41</v>
      </c>
    </row>
    <row r="5" spans="1:12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2" x14ac:dyDescent="0.25">
      <c r="A6" s="26" t="s">
        <v>1790</v>
      </c>
      <c r="B6" s="26" t="s">
        <v>1298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38">
        <v>2.2999999999999998</v>
      </c>
      <c r="I6" s="38" t="s">
        <v>1791</v>
      </c>
      <c r="J6" s="34">
        <f>IFERROR(_xlfn.XLOOKUP(I6,Index!$A:$A,Index!$B:$B),"")</f>
        <v>644</v>
      </c>
    </row>
    <row r="7" spans="1:12" x14ac:dyDescent="0.25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38">
        <v>2.2999999999999998</v>
      </c>
      <c r="I7" s="38" t="s">
        <v>5542</v>
      </c>
      <c r="J7" s="46">
        <f>J6+26</f>
        <v>670</v>
      </c>
    </row>
    <row r="8" spans="1:12" x14ac:dyDescent="0.25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38">
        <v>2.2999999999999998</v>
      </c>
      <c r="I8" s="38" t="s">
        <v>5542</v>
      </c>
      <c r="J8" s="46">
        <f>J7</f>
        <v>670</v>
      </c>
    </row>
    <row r="9" spans="1:12" x14ac:dyDescent="0.25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1792</v>
      </c>
      <c r="J9" s="34">
        <f>IFERROR(_xlfn.XLOOKUP(I9,Index!$A:$A,Index!$B:$B),"")</f>
        <v>659.5</v>
      </c>
    </row>
    <row r="10" spans="1:12" x14ac:dyDescent="0.25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1793</v>
      </c>
      <c r="J10" s="34">
        <f>IFERROR(_xlfn.XLOOKUP(I10,Index!$A:$A,Index!$B:$B),"")</f>
        <v>692.5</v>
      </c>
    </row>
    <row r="11" spans="1:12" x14ac:dyDescent="0.25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5542</v>
      </c>
      <c r="J11" s="46">
        <f>J10</f>
        <v>692.5</v>
      </c>
    </row>
    <row r="12" spans="1:12" x14ac:dyDescent="0.25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7</v>
      </c>
      <c r="H12" s="38">
        <v>3.2</v>
      </c>
      <c r="I12" s="38" t="s">
        <v>1794</v>
      </c>
      <c r="J12" s="34">
        <f>IFERROR(_xlfn.XLOOKUP(I12,Index!$A:$A,Index!$B:$B),"")</f>
        <v>865</v>
      </c>
      <c r="K12" s="257"/>
      <c r="L12" s="257"/>
    </row>
    <row r="13" spans="1:12" x14ac:dyDescent="0.25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7</v>
      </c>
      <c r="H13" s="38">
        <v>3.2</v>
      </c>
      <c r="I13" s="38" t="s">
        <v>1795</v>
      </c>
      <c r="J13" s="34">
        <f>IFERROR(_xlfn.XLOOKUP(I13,Index!$A:$A,Index!$B:$B),"")</f>
        <v>908.5</v>
      </c>
    </row>
    <row r="14" spans="1:12" x14ac:dyDescent="0.25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7</v>
      </c>
      <c r="H14" s="38">
        <v>3.2</v>
      </c>
      <c r="I14" s="38" t="s">
        <v>1796</v>
      </c>
      <c r="J14" s="34">
        <f>IFERROR(_xlfn.XLOOKUP(I14,Index!$A:$A,Index!$B:$B),"")</f>
        <v>908.5</v>
      </c>
    </row>
    <row r="15" spans="1:12" x14ac:dyDescent="0.25">
      <c r="A15" s="26"/>
      <c r="B15" s="26"/>
      <c r="C15" s="30"/>
      <c r="D15" s="35" t="s">
        <v>176</v>
      </c>
      <c r="E15" s="82" t="s">
        <v>1629</v>
      </c>
      <c r="F15" s="37">
        <v>32</v>
      </c>
      <c r="G15" s="35">
        <v>12</v>
      </c>
      <c r="H15" s="38">
        <v>5.4</v>
      </c>
      <c r="I15" s="38" t="s">
        <v>1797</v>
      </c>
      <c r="J15" s="34">
        <f>IFERROR(_xlfn.XLOOKUP(I15,Index!$A:$A,Index!$B:$B),"")</f>
        <v>1347</v>
      </c>
    </row>
    <row r="16" spans="1:12" x14ac:dyDescent="0.25">
      <c r="A16" s="26"/>
      <c r="B16" s="26"/>
      <c r="C16" s="30"/>
      <c r="D16" s="35" t="s">
        <v>53</v>
      </c>
      <c r="E16" s="82" t="s">
        <v>1629</v>
      </c>
      <c r="F16" s="37">
        <v>32</v>
      </c>
      <c r="G16" s="35">
        <v>12</v>
      </c>
      <c r="H16" s="38">
        <v>5.4</v>
      </c>
      <c r="I16" s="38" t="s">
        <v>1798</v>
      </c>
      <c r="J16" s="34">
        <f>IFERROR(_xlfn.XLOOKUP(I16,Index!$A:$A,Index!$B:$B),"")</f>
        <v>1414</v>
      </c>
    </row>
    <row r="17" spans="1:10" x14ac:dyDescent="0.25">
      <c r="A17" s="26"/>
      <c r="B17" s="26"/>
      <c r="C17" s="30"/>
      <c r="D17" s="35" t="s">
        <v>55</v>
      </c>
      <c r="E17" s="82" t="s">
        <v>1799</v>
      </c>
      <c r="F17" s="37">
        <v>32</v>
      </c>
      <c r="G17" s="35">
        <v>12</v>
      </c>
      <c r="H17" s="38">
        <v>5.4</v>
      </c>
      <c r="I17" s="38" t="s">
        <v>1800</v>
      </c>
      <c r="J17" s="34">
        <f>IFERROR(_xlfn.XLOOKUP(I17,Index!$A:$A,Index!$B:$B),"")</f>
        <v>1414</v>
      </c>
    </row>
    <row r="18" spans="1:10" x14ac:dyDescent="0.25">
      <c r="A18" s="26"/>
      <c r="B18" s="26"/>
      <c r="C18" s="30"/>
      <c r="D18" s="35" t="s">
        <v>176</v>
      </c>
      <c r="E18" s="82" t="s">
        <v>1632</v>
      </c>
      <c r="F18" s="37">
        <v>40</v>
      </c>
      <c r="G18" s="35">
        <v>12</v>
      </c>
      <c r="H18" s="38">
        <v>5.4</v>
      </c>
      <c r="I18" s="38" t="s">
        <v>1801</v>
      </c>
      <c r="J18" s="34">
        <f>IFERROR(_xlfn.XLOOKUP(I18,Index!$A:$A,Index!$B:$B),"")</f>
        <v>1347</v>
      </c>
    </row>
    <row r="19" spans="1:10" x14ac:dyDescent="0.25">
      <c r="A19" s="26"/>
      <c r="B19" s="26"/>
      <c r="C19" s="30"/>
      <c r="D19" s="35" t="s">
        <v>53</v>
      </c>
      <c r="E19" s="82" t="s">
        <v>1632</v>
      </c>
      <c r="F19" s="37">
        <v>40</v>
      </c>
      <c r="G19" s="35">
        <v>12</v>
      </c>
      <c r="H19" s="38">
        <v>5.4</v>
      </c>
      <c r="I19" s="38" t="s">
        <v>5542</v>
      </c>
      <c r="J19" s="46">
        <f>J20</f>
        <v>1414</v>
      </c>
    </row>
    <row r="20" spans="1:10" x14ac:dyDescent="0.25">
      <c r="A20" s="26"/>
      <c r="B20" s="26"/>
      <c r="C20" s="30"/>
      <c r="D20" s="35" t="s">
        <v>55</v>
      </c>
      <c r="E20" s="82" t="s">
        <v>1632</v>
      </c>
      <c r="F20" s="37">
        <v>40</v>
      </c>
      <c r="G20" s="35">
        <v>12</v>
      </c>
      <c r="H20" s="38">
        <v>5.4</v>
      </c>
      <c r="I20" s="38" t="s">
        <v>1802</v>
      </c>
      <c r="J20" s="34">
        <f>IFERROR(_xlfn.XLOOKUP(I20,Index!$A:$A,Index!$B:$B),"")</f>
        <v>1414</v>
      </c>
    </row>
    <row r="21" spans="1:10" x14ac:dyDescent="0.25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23</v>
      </c>
      <c r="H21" s="38">
        <v>10.4</v>
      </c>
      <c r="I21" s="38" t="s">
        <v>1803</v>
      </c>
      <c r="J21" s="34">
        <f>IFERROR(_xlfn.XLOOKUP(I21,Index!$A:$A,Index!$B:$B),"")</f>
        <v>2000</v>
      </c>
    </row>
    <row r="22" spans="1:10" x14ac:dyDescent="0.25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23</v>
      </c>
      <c r="H22" s="38">
        <v>10.4</v>
      </c>
      <c r="I22" s="38" t="s">
        <v>1804</v>
      </c>
      <c r="J22" s="34">
        <f>IFERROR(_xlfn.XLOOKUP(I22,Index!$A:$A,Index!$B:$B),"")</f>
        <v>2098</v>
      </c>
    </row>
    <row r="23" spans="1:10" x14ac:dyDescent="0.25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23</v>
      </c>
      <c r="H23" s="38">
        <v>10.4</v>
      </c>
      <c r="I23" s="38" t="s">
        <v>5542</v>
      </c>
      <c r="J23" s="46">
        <f>J22</f>
        <v>2098</v>
      </c>
    </row>
    <row r="24" spans="1:10" x14ac:dyDescent="0.25">
      <c r="A24" s="26"/>
      <c r="B24" s="26"/>
      <c r="C24" s="30"/>
      <c r="D24" s="35" t="s">
        <v>176</v>
      </c>
      <c r="E24" s="82" t="s">
        <v>1460</v>
      </c>
      <c r="F24" s="37">
        <v>65</v>
      </c>
      <c r="G24" s="35">
        <v>33</v>
      </c>
      <c r="H24" s="38">
        <v>15</v>
      </c>
      <c r="I24" s="38" t="s">
        <v>1805</v>
      </c>
      <c r="J24" s="34">
        <f>IFERROR(_xlfn.XLOOKUP(I24,Index!$A:$A,Index!$B:$B),"")</f>
        <v>2827</v>
      </c>
    </row>
    <row r="25" spans="1:10" x14ac:dyDescent="0.25">
      <c r="A25" s="26"/>
      <c r="B25" s="26"/>
      <c r="C25" s="30"/>
      <c r="D25" s="35" t="s">
        <v>53</v>
      </c>
      <c r="E25" s="82" t="s">
        <v>1460</v>
      </c>
      <c r="F25" s="37">
        <v>65</v>
      </c>
      <c r="G25" s="35">
        <v>33</v>
      </c>
      <c r="H25" s="38">
        <v>15</v>
      </c>
      <c r="I25" s="38" t="s">
        <v>5542</v>
      </c>
      <c r="J25" s="46">
        <f>J26</f>
        <v>2969</v>
      </c>
    </row>
    <row r="26" spans="1:10" x14ac:dyDescent="0.25">
      <c r="A26" s="26"/>
      <c r="B26" s="26"/>
      <c r="C26" s="30"/>
      <c r="D26" s="35" t="s">
        <v>55</v>
      </c>
      <c r="E26" s="82" t="s">
        <v>1460</v>
      </c>
      <c r="F26" s="37">
        <v>65</v>
      </c>
      <c r="G26" s="35">
        <v>33</v>
      </c>
      <c r="H26" s="38">
        <v>15</v>
      </c>
      <c r="I26" s="38" t="s">
        <v>1806</v>
      </c>
      <c r="J26" s="34">
        <f>IFERROR(_xlfn.XLOOKUP(I26,Index!$A:$A,Index!$B:$B),"")</f>
        <v>2969</v>
      </c>
    </row>
    <row r="27" spans="1:10" x14ac:dyDescent="0.25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51</v>
      </c>
      <c r="H27" s="38">
        <v>23</v>
      </c>
      <c r="I27" s="38" t="s">
        <v>1807</v>
      </c>
      <c r="J27" s="34">
        <f>IFERROR(_xlfn.XLOOKUP(I27,Index!$A:$A,Index!$B:$B),"")</f>
        <v>3899</v>
      </c>
    </row>
    <row r="28" spans="1:10" x14ac:dyDescent="0.25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51</v>
      </c>
      <c r="H28" s="38">
        <v>23</v>
      </c>
      <c r="I28" s="38" t="s">
        <v>1808</v>
      </c>
      <c r="J28" s="34">
        <f>IFERROR(_xlfn.XLOOKUP(I28,Index!$A:$A,Index!$B:$B),"")</f>
        <v>4094</v>
      </c>
    </row>
    <row r="29" spans="1:10" x14ac:dyDescent="0.25">
      <c r="A29" s="27"/>
      <c r="B29" s="27"/>
      <c r="C29" s="31"/>
      <c r="D29" s="85" t="s">
        <v>55</v>
      </c>
      <c r="E29" s="82" t="s">
        <v>1166</v>
      </c>
      <c r="F29" s="37">
        <v>80</v>
      </c>
      <c r="G29" s="35">
        <v>51</v>
      </c>
      <c r="H29" s="38">
        <v>23</v>
      </c>
      <c r="I29" s="38" t="s">
        <v>1809</v>
      </c>
      <c r="J29" s="34">
        <f>IFERROR(_xlfn.XLOOKUP(I29,Index!$A:$A,Index!$B:$B),"")</f>
        <v>4094</v>
      </c>
    </row>
    <row r="32" spans="1:10" ht="15.75" x14ac:dyDescent="0.25">
      <c r="A32" s="217" t="s">
        <v>1789</v>
      </c>
      <c r="B32" s="47" t="s">
        <v>647</v>
      </c>
      <c r="D32" s="49"/>
      <c r="E32" s="50"/>
      <c r="F32" s="101"/>
    </row>
    <row r="33" spans="1:6" ht="15.75" x14ac:dyDescent="0.25">
      <c r="A33" s="48" t="s">
        <v>102</v>
      </c>
      <c r="B33" s="217"/>
      <c r="C33" s="58"/>
      <c r="D33" s="58"/>
      <c r="E33" s="59"/>
      <c r="F33" s="101"/>
    </row>
    <row r="34" spans="1:6" ht="24" x14ac:dyDescent="0.25">
      <c r="A34" s="25" t="s">
        <v>35</v>
      </c>
      <c r="B34" s="28" t="s">
        <v>103</v>
      </c>
      <c r="C34" s="335" t="s">
        <v>38</v>
      </c>
      <c r="D34" s="336"/>
      <c r="E34" s="42" t="s">
        <v>40</v>
      </c>
      <c r="F34" s="43" t="s">
        <v>41</v>
      </c>
    </row>
    <row r="35" spans="1:6" x14ac:dyDescent="0.25">
      <c r="A35" s="32"/>
      <c r="B35" s="32"/>
      <c r="C35" s="33" t="s">
        <v>44</v>
      </c>
      <c r="D35" s="33" t="s">
        <v>45</v>
      </c>
      <c r="E35" s="33"/>
      <c r="F35" s="44"/>
    </row>
    <row r="36" spans="1:6" x14ac:dyDescent="0.25">
      <c r="A36" s="99" t="s">
        <v>1790</v>
      </c>
      <c r="B36" s="132" t="s">
        <v>1308</v>
      </c>
      <c r="C36" s="70">
        <v>0.5</v>
      </c>
      <c r="D36" s="38">
        <v>15</v>
      </c>
      <c r="E36" s="35" t="s">
        <v>1810</v>
      </c>
      <c r="F36" s="34">
        <f>IFERROR(_xlfn.XLOOKUP(E36,Index!$A:$A,Index!$B:$B),"")</f>
        <v>2.75</v>
      </c>
    </row>
    <row r="37" spans="1:6" x14ac:dyDescent="0.25">
      <c r="A37" s="26"/>
      <c r="B37" s="26"/>
      <c r="C37" s="64">
        <v>0.75</v>
      </c>
      <c r="D37" s="116">
        <v>20</v>
      </c>
      <c r="E37" s="35" t="s">
        <v>1810</v>
      </c>
      <c r="F37" s="34">
        <f>IFERROR(_xlfn.XLOOKUP(E37,Index!$A:$A,Index!$B:$B),"")</f>
        <v>2.75</v>
      </c>
    </row>
    <row r="38" spans="1:6" x14ac:dyDescent="0.25">
      <c r="A38" s="26"/>
      <c r="B38" s="26"/>
      <c r="C38" s="64">
        <v>1</v>
      </c>
      <c r="D38" s="116">
        <v>25</v>
      </c>
      <c r="E38" s="35" t="s">
        <v>1811</v>
      </c>
      <c r="F38" s="34">
        <f>IFERROR(_xlfn.XLOOKUP(E38,Index!$A:$A,Index!$B:$B),"")</f>
        <v>6</v>
      </c>
    </row>
    <row r="39" spans="1:6" x14ac:dyDescent="0.25">
      <c r="A39" s="26"/>
      <c r="B39" s="26"/>
      <c r="C39" s="64">
        <v>1.25</v>
      </c>
      <c r="D39" s="116">
        <v>32</v>
      </c>
      <c r="E39" s="35" t="s">
        <v>1812</v>
      </c>
      <c r="F39" s="34">
        <f>IFERROR(_xlfn.XLOOKUP(E39,Index!$A:$A,Index!$B:$B),"")</f>
        <v>7.75</v>
      </c>
    </row>
    <row r="40" spans="1:6" x14ac:dyDescent="0.25">
      <c r="A40" s="26"/>
      <c r="B40" s="26"/>
      <c r="C40" s="64">
        <v>1.5</v>
      </c>
      <c r="D40" s="116">
        <v>40</v>
      </c>
      <c r="E40" s="35" t="s">
        <v>1812</v>
      </c>
      <c r="F40" s="34">
        <f>IFERROR(_xlfn.XLOOKUP(E40,Index!$A:$A,Index!$B:$B),"")</f>
        <v>7.75</v>
      </c>
    </row>
    <row r="41" spans="1:6" x14ac:dyDescent="0.25">
      <c r="A41" s="26"/>
      <c r="B41" s="26"/>
      <c r="C41" s="64">
        <v>2</v>
      </c>
      <c r="D41" s="116">
        <v>50</v>
      </c>
      <c r="E41" s="35" t="s">
        <v>1812</v>
      </c>
      <c r="F41" s="34">
        <f>IFERROR(_xlfn.XLOOKUP(E41,Index!$A:$A,Index!$B:$B),"")</f>
        <v>7.75</v>
      </c>
    </row>
    <row r="42" spans="1:6" x14ac:dyDescent="0.25">
      <c r="A42" s="26"/>
      <c r="B42" s="26"/>
      <c r="C42" s="64">
        <v>2.5</v>
      </c>
      <c r="D42" s="116">
        <v>65</v>
      </c>
      <c r="E42" s="35" t="s">
        <v>1813</v>
      </c>
      <c r="F42" s="34">
        <f>IFERROR(_xlfn.XLOOKUP(E42,Index!$A:$A,Index!$B:$B),"")</f>
        <v>15.75</v>
      </c>
    </row>
    <row r="43" spans="1:6" x14ac:dyDescent="0.25">
      <c r="A43" s="99"/>
      <c r="B43" s="99"/>
      <c r="C43" s="64">
        <v>3</v>
      </c>
      <c r="D43" s="116">
        <v>80</v>
      </c>
      <c r="E43" s="35" t="s">
        <v>1814</v>
      </c>
      <c r="F43" s="34">
        <f>IFERROR(_xlfn.XLOOKUP(E43,Index!$A:$A,Index!$B:$B),"")</f>
        <v>12.5</v>
      </c>
    </row>
    <row r="44" spans="1:6" x14ac:dyDescent="0.25">
      <c r="A44" s="26"/>
      <c r="B44" s="60" t="s">
        <v>1315</v>
      </c>
      <c r="C44" s="70">
        <v>0.5</v>
      </c>
      <c r="D44" s="38">
        <v>15</v>
      </c>
      <c r="E44" s="35" t="s">
        <v>1815</v>
      </c>
      <c r="F44" s="34">
        <f>IFERROR(_xlfn.XLOOKUP(E44,Index!$A:$A,Index!$B:$B),"")</f>
        <v>2.75</v>
      </c>
    </row>
    <row r="45" spans="1:6" x14ac:dyDescent="0.25">
      <c r="A45" s="26"/>
      <c r="B45" s="26"/>
      <c r="C45" s="64">
        <v>0.75</v>
      </c>
      <c r="D45" s="116">
        <v>20</v>
      </c>
      <c r="E45" s="35" t="s">
        <v>1815</v>
      </c>
      <c r="F45" s="34">
        <f>IFERROR(_xlfn.XLOOKUP(E45,Index!$A:$A,Index!$B:$B),"")</f>
        <v>2.75</v>
      </c>
    </row>
    <row r="46" spans="1:6" x14ac:dyDescent="0.25">
      <c r="A46" s="26"/>
      <c r="B46" s="26"/>
      <c r="C46" s="64">
        <v>1</v>
      </c>
      <c r="D46" s="116">
        <v>25</v>
      </c>
      <c r="E46" s="35" t="s">
        <v>1816</v>
      </c>
      <c r="F46" s="34">
        <f>IFERROR(_xlfn.XLOOKUP(E46,Index!$A:$A,Index!$B:$B),"")</f>
        <v>6</v>
      </c>
    </row>
    <row r="47" spans="1:6" x14ac:dyDescent="0.25">
      <c r="A47" s="26"/>
      <c r="B47" s="26"/>
      <c r="C47" s="64">
        <v>1.25</v>
      </c>
      <c r="D47" s="116">
        <v>32</v>
      </c>
      <c r="E47" s="35" t="s">
        <v>1817</v>
      </c>
      <c r="F47" s="34">
        <f>IFERROR(_xlfn.XLOOKUP(E47,Index!$A:$A,Index!$B:$B),"")</f>
        <v>8.5</v>
      </c>
    </row>
    <row r="48" spans="1:6" x14ac:dyDescent="0.25">
      <c r="A48" s="26"/>
      <c r="B48" s="26"/>
      <c r="C48" s="64">
        <v>1.5</v>
      </c>
      <c r="D48" s="116">
        <v>40</v>
      </c>
      <c r="E48" s="35" t="s">
        <v>1817</v>
      </c>
      <c r="F48" s="34">
        <f>IFERROR(_xlfn.XLOOKUP(E48,Index!$A:$A,Index!$B:$B),"")</f>
        <v>8.5</v>
      </c>
    </row>
    <row r="49" spans="1:6" x14ac:dyDescent="0.25">
      <c r="A49" s="26"/>
      <c r="B49" s="26"/>
      <c r="C49" s="64">
        <v>2</v>
      </c>
      <c r="D49" s="116">
        <v>50</v>
      </c>
      <c r="E49" s="35" t="s">
        <v>1818</v>
      </c>
      <c r="F49" s="34">
        <f>IFERROR(_xlfn.XLOOKUP(E49,Index!$A:$A,Index!$B:$B),"")</f>
        <v>9</v>
      </c>
    </row>
    <row r="50" spans="1:6" x14ac:dyDescent="0.25">
      <c r="A50" s="26"/>
      <c r="B50" s="26"/>
      <c r="C50" s="64">
        <v>2.5</v>
      </c>
      <c r="D50" s="116">
        <v>65</v>
      </c>
      <c r="E50" s="35" t="s">
        <v>1819</v>
      </c>
      <c r="F50" s="34">
        <f>IFERROR(_xlfn.XLOOKUP(E50,Index!$A:$A,Index!$B:$B),"")</f>
        <v>15.75</v>
      </c>
    </row>
    <row r="51" spans="1:6" x14ac:dyDescent="0.25">
      <c r="A51" s="26"/>
      <c r="B51" s="26"/>
      <c r="C51" s="64">
        <v>3</v>
      </c>
      <c r="D51" s="116">
        <v>80</v>
      </c>
      <c r="E51" s="35" t="s">
        <v>1820</v>
      </c>
      <c r="F51" s="34">
        <f>IFERROR(_xlfn.XLOOKUP(E51,Index!$A:$A,Index!$B:$B),"")</f>
        <v>12.5</v>
      </c>
    </row>
    <row r="52" spans="1:6" x14ac:dyDescent="0.25">
      <c r="A52" s="26"/>
      <c r="B52" s="60" t="s">
        <v>210</v>
      </c>
      <c r="C52" s="70">
        <v>0.5</v>
      </c>
      <c r="D52" s="38">
        <v>15</v>
      </c>
      <c r="E52" s="35" t="s">
        <v>1321</v>
      </c>
      <c r="F52" s="34">
        <f>IFERROR(_xlfn.XLOOKUP(E52,Index!$A:$A,Index!$B:$B),"")</f>
        <v>416</v>
      </c>
    </row>
    <row r="53" spans="1:6" x14ac:dyDescent="0.25">
      <c r="A53" s="26"/>
      <c r="B53" s="26"/>
      <c r="C53" s="64">
        <v>0.75</v>
      </c>
      <c r="D53" s="116">
        <v>20</v>
      </c>
      <c r="E53" s="35" t="s">
        <v>1321</v>
      </c>
      <c r="F53" s="34">
        <f>IFERROR(_xlfn.XLOOKUP(E53,Index!$A:$A,Index!$B:$B),"")</f>
        <v>416</v>
      </c>
    </row>
    <row r="54" spans="1:6" x14ac:dyDescent="0.25">
      <c r="A54" s="26"/>
      <c r="B54" s="26"/>
      <c r="C54" s="64">
        <v>1</v>
      </c>
      <c r="D54" s="116">
        <v>25</v>
      </c>
      <c r="E54" s="35" t="s">
        <v>1322</v>
      </c>
      <c r="F54" s="34">
        <f>IFERROR(_xlfn.XLOOKUP(E54,Index!$A:$A,Index!$B:$B),"")</f>
        <v>416</v>
      </c>
    </row>
    <row r="55" spans="1:6" x14ac:dyDescent="0.25">
      <c r="A55" s="26"/>
      <c r="B55" s="26"/>
      <c r="C55" s="64">
        <v>1.25</v>
      </c>
      <c r="D55" s="116">
        <v>32</v>
      </c>
      <c r="E55" s="35" t="s">
        <v>1323</v>
      </c>
      <c r="F55" s="34">
        <f>IFERROR(_xlfn.XLOOKUP(E55,Index!$A:$A,Index!$B:$B),"")</f>
        <v>457.5</v>
      </c>
    </row>
    <row r="56" spans="1:6" x14ac:dyDescent="0.25">
      <c r="A56" s="26"/>
      <c r="B56" s="26"/>
      <c r="C56" s="64">
        <v>1.5</v>
      </c>
      <c r="D56" s="116">
        <v>40</v>
      </c>
      <c r="E56" s="35" t="s">
        <v>1323</v>
      </c>
      <c r="F56" s="34">
        <f>IFERROR(_xlfn.XLOOKUP(E56,Index!$A:$A,Index!$B:$B),"")</f>
        <v>457.5</v>
      </c>
    </row>
    <row r="57" spans="1:6" x14ac:dyDescent="0.25">
      <c r="A57" s="66"/>
      <c r="B57" s="26"/>
      <c r="C57" s="125">
        <v>2</v>
      </c>
      <c r="D57" s="116">
        <v>50</v>
      </c>
      <c r="E57" s="35" t="s">
        <v>1324</v>
      </c>
      <c r="F57" s="34">
        <f>IFERROR(_xlfn.XLOOKUP(E57,Index!$A:$A,Index!$B:$B),"")</f>
        <v>457.5</v>
      </c>
    </row>
    <row r="58" spans="1:6" x14ac:dyDescent="0.25">
      <c r="A58" s="26"/>
      <c r="B58" s="26"/>
      <c r="C58" s="64">
        <v>2.5</v>
      </c>
      <c r="D58" s="116">
        <v>65</v>
      </c>
      <c r="E58" s="35" t="s">
        <v>1325</v>
      </c>
      <c r="F58" s="34">
        <f>IFERROR(_xlfn.XLOOKUP(E58,Index!$A:$A,Index!$B:$B),"")</f>
        <v>582</v>
      </c>
    </row>
    <row r="59" spans="1:6" x14ac:dyDescent="0.25">
      <c r="A59" s="26"/>
      <c r="B59" s="26"/>
      <c r="C59" s="64">
        <v>3</v>
      </c>
      <c r="D59" s="116">
        <v>80</v>
      </c>
      <c r="E59" s="35" t="s">
        <v>1326</v>
      </c>
      <c r="F59" s="34">
        <f>IFERROR(_xlfn.XLOOKUP(E59,Index!$A:$A,Index!$B:$B),"")</f>
        <v>582</v>
      </c>
    </row>
    <row r="60" spans="1:6" x14ac:dyDescent="0.25">
      <c r="A60" s="26"/>
      <c r="B60" s="60" t="s">
        <v>122</v>
      </c>
      <c r="C60" s="70">
        <v>0.5</v>
      </c>
      <c r="D60" s="38">
        <v>15</v>
      </c>
      <c r="E60" s="35" t="s">
        <v>1334</v>
      </c>
      <c r="F60" s="34">
        <f>IFERROR(_xlfn.XLOOKUP(E60,Index!$A:$A,Index!$B:$B),"")</f>
        <v>498.5</v>
      </c>
    </row>
    <row r="61" spans="1:6" x14ac:dyDescent="0.25">
      <c r="A61" s="26"/>
      <c r="B61" s="26"/>
      <c r="C61" s="64">
        <v>0.75</v>
      </c>
      <c r="D61" s="116">
        <v>20</v>
      </c>
      <c r="E61" s="35" t="s">
        <v>1335</v>
      </c>
      <c r="F61" s="34">
        <f>IFERROR(_xlfn.XLOOKUP(E61,Index!$A:$A,Index!$B:$B),"")</f>
        <v>498.5</v>
      </c>
    </row>
    <row r="62" spans="1:6" x14ac:dyDescent="0.25">
      <c r="A62" s="26"/>
      <c r="B62" s="26"/>
      <c r="C62" s="64">
        <v>1</v>
      </c>
      <c r="D62" s="116">
        <v>25</v>
      </c>
      <c r="E62" s="35" t="s">
        <v>1335</v>
      </c>
      <c r="F62" s="34">
        <f>IFERROR(_xlfn.XLOOKUP(E62,Index!$A:$A,Index!$B:$B),"")</f>
        <v>498.5</v>
      </c>
    </row>
    <row r="63" spans="1:6" x14ac:dyDescent="0.25">
      <c r="A63" s="26"/>
      <c r="B63" s="26"/>
      <c r="C63" s="64">
        <v>1.25</v>
      </c>
      <c r="D63" s="116">
        <v>32</v>
      </c>
      <c r="E63" s="35" t="s">
        <v>1336</v>
      </c>
      <c r="F63" s="34">
        <f>IFERROR(_xlfn.XLOOKUP(E63,Index!$A:$A,Index!$B:$B),"")</f>
        <v>541</v>
      </c>
    </row>
    <row r="64" spans="1:6" x14ac:dyDescent="0.25">
      <c r="A64" s="26"/>
      <c r="B64" s="26"/>
      <c r="C64" s="64">
        <v>1.5</v>
      </c>
      <c r="D64" s="116">
        <v>40</v>
      </c>
      <c r="E64" s="35" t="s">
        <v>1336</v>
      </c>
      <c r="F64" s="34">
        <f>IFERROR(_xlfn.XLOOKUP(E64,Index!$A:$A,Index!$B:$B),"")</f>
        <v>541</v>
      </c>
    </row>
    <row r="65" spans="1:6" x14ac:dyDescent="0.25">
      <c r="A65" s="26"/>
      <c r="B65" s="26"/>
      <c r="C65" s="64">
        <v>2</v>
      </c>
      <c r="D65" s="116">
        <v>50</v>
      </c>
      <c r="E65" s="35" t="s">
        <v>1337</v>
      </c>
      <c r="F65" s="34">
        <f>IFERROR(_xlfn.XLOOKUP(E65,Index!$A:$A,Index!$B:$B),"")</f>
        <v>541</v>
      </c>
    </row>
    <row r="66" spans="1:6" x14ac:dyDescent="0.25">
      <c r="A66" s="26"/>
      <c r="B66" s="26"/>
      <c r="C66" s="64">
        <v>2.5</v>
      </c>
      <c r="D66" s="116">
        <v>65</v>
      </c>
      <c r="E66" s="35" t="s">
        <v>1338</v>
      </c>
      <c r="F66" s="34">
        <f>IFERROR(_xlfn.XLOOKUP(E66,Index!$A:$A,Index!$B:$B),"")</f>
        <v>996.5</v>
      </c>
    </row>
    <row r="67" spans="1:6" x14ac:dyDescent="0.25">
      <c r="A67" s="26"/>
      <c r="B67" s="26"/>
      <c r="C67" s="64">
        <v>3</v>
      </c>
      <c r="D67" s="116">
        <v>80</v>
      </c>
      <c r="E67" s="35" t="s">
        <v>1339</v>
      </c>
      <c r="F67" s="34">
        <f>IFERROR(_xlfn.XLOOKUP(E67,Index!$A:$A,Index!$B:$B),"")</f>
        <v>996.5</v>
      </c>
    </row>
    <row r="68" spans="1:6" x14ac:dyDescent="0.25">
      <c r="A68" s="26"/>
      <c r="B68" s="60" t="s">
        <v>134</v>
      </c>
      <c r="C68" s="70">
        <v>0.5</v>
      </c>
      <c r="D68" s="38">
        <v>15</v>
      </c>
      <c r="E68" s="35" t="s">
        <v>1821</v>
      </c>
      <c r="F68" s="34">
        <f>IFERROR(_xlfn.XLOOKUP(E68,Index!$A:$A,Index!$B:$B),"")</f>
        <v>498.5</v>
      </c>
    </row>
    <row r="69" spans="1:6" x14ac:dyDescent="0.25">
      <c r="A69" s="26"/>
      <c r="B69" s="26"/>
      <c r="C69" s="64">
        <v>0.75</v>
      </c>
      <c r="D69" s="116">
        <v>20</v>
      </c>
      <c r="E69" s="35" t="s">
        <v>1821</v>
      </c>
      <c r="F69" s="34">
        <f>IFERROR(_xlfn.XLOOKUP(E69,Index!$A:$A,Index!$B:$B),"")</f>
        <v>498.5</v>
      </c>
    </row>
    <row r="70" spans="1:6" x14ac:dyDescent="0.25">
      <c r="A70" s="26"/>
      <c r="B70" s="26"/>
      <c r="C70" s="64">
        <v>1</v>
      </c>
      <c r="D70" s="116">
        <v>25</v>
      </c>
      <c r="E70" s="35" t="s">
        <v>1341</v>
      </c>
      <c r="F70" s="34">
        <f>IFERROR(_xlfn.XLOOKUP(E70,Index!$A:$A,Index!$B:$B),"")</f>
        <v>498.5</v>
      </c>
    </row>
    <row r="71" spans="1:6" x14ac:dyDescent="0.25">
      <c r="A71" s="26"/>
      <c r="B71" s="26"/>
      <c r="C71" s="64">
        <v>1.25</v>
      </c>
      <c r="D71" s="116">
        <v>32</v>
      </c>
      <c r="E71" s="35" t="s">
        <v>1342</v>
      </c>
      <c r="F71" s="34">
        <f>IFERROR(_xlfn.XLOOKUP(E71,Index!$A:$A,Index!$B:$B),"")</f>
        <v>541</v>
      </c>
    </row>
    <row r="72" spans="1:6" x14ac:dyDescent="0.25">
      <c r="A72" s="26"/>
      <c r="B72" s="26"/>
      <c r="C72" s="64">
        <v>1.5</v>
      </c>
      <c r="D72" s="116">
        <v>40</v>
      </c>
      <c r="E72" s="35" t="s">
        <v>1343</v>
      </c>
      <c r="F72" s="34">
        <f>IFERROR(_xlfn.XLOOKUP(E72,Index!$A:$A,Index!$B:$B),"")</f>
        <v>541</v>
      </c>
    </row>
    <row r="73" spans="1:6" x14ac:dyDescent="0.25">
      <c r="A73" s="26"/>
      <c r="B73" s="26"/>
      <c r="C73" s="64">
        <v>2</v>
      </c>
      <c r="D73" s="116">
        <v>50</v>
      </c>
      <c r="E73" s="35" t="s">
        <v>1344</v>
      </c>
      <c r="F73" s="34">
        <f>IFERROR(_xlfn.XLOOKUP(E73,Index!$A:$A,Index!$B:$B),"")</f>
        <v>541</v>
      </c>
    </row>
    <row r="74" spans="1:6" x14ac:dyDescent="0.25">
      <c r="A74" s="26"/>
      <c r="B74" s="26"/>
      <c r="C74" s="64">
        <v>2.5</v>
      </c>
      <c r="D74" s="116">
        <v>65</v>
      </c>
      <c r="E74" s="35" t="s">
        <v>1345</v>
      </c>
      <c r="F74" s="34">
        <f>IFERROR(_xlfn.XLOOKUP(E74,Index!$A:$A,Index!$B:$B),"")</f>
        <v>996.5</v>
      </c>
    </row>
    <row r="75" spans="1:6" x14ac:dyDescent="0.25">
      <c r="A75" s="26"/>
      <c r="B75" s="26"/>
      <c r="C75" s="64">
        <v>3</v>
      </c>
      <c r="D75" s="116">
        <v>80</v>
      </c>
      <c r="E75" s="35" t="s">
        <v>1346</v>
      </c>
      <c r="F75" s="34">
        <f>IFERROR(_xlfn.XLOOKUP(E75,Index!$A:$A,Index!$B:$B),"")</f>
        <v>996.5</v>
      </c>
    </row>
    <row r="76" spans="1:6" x14ac:dyDescent="0.25">
      <c r="A76" s="26"/>
      <c r="B76" s="60" t="s">
        <v>145</v>
      </c>
      <c r="C76" s="70">
        <v>0.5</v>
      </c>
      <c r="D76" s="38">
        <v>15</v>
      </c>
      <c r="E76" s="35" t="s">
        <v>1347</v>
      </c>
      <c r="F76" s="34">
        <f>IFERROR(_xlfn.XLOOKUP(E76,Index!$A:$A,Index!$B:$B),"")</f>
        <v>498.5</v>
      </c>
    </row>
    <row r="77" spans="1:6" x14ac:dyDescent="0.25">
      <c r="A77" s="26"/>
      <c r="B77" s="26"/>
      <c r="C77" s="64">
        <v>0.75</v>
      </c>
      <c r="D77" s="116">
        <v>20</v>
      </c>
      <c r="E77" s="35" t="s">
        <v>1347</v>
      </c>
      <c r="F77" s="34">
        <f>IFERROR(_xlfn.XLOOKUP(E77,Index!$A:$A,Index!$B:$B),"")</f>
        <v>498.5</v>
      </c>
    </row>
    <row r="78" spans="1:6" x14ac:dyDescent="0.25">
      <c r="A78" s="26"/>
      <c r="B78" s="26"/>
      <c r="C78" s="64">
        <v>1</v>
      </c>
      <c r="D78" s="116">
        <v>25</v>
      </c>
      <c r="E78" s="35" t="s">
        <v>1348</v>
      </c>
      <c r="F78" s="34">
        <f>IFERROR(_xlfn.XLOOKUP(E78,Index!$A:$A,Index!$B:$B),"")</f>
        <v>498.5</v>
      </c>
    </row>
    <row r="79" spans="1:6" x14ac:dyDescent="0.25">
      <c r="A79" s="26"/>
      <c r="B79" s="26"/>
      <c r="C79" s="64">
        <v>1.25</v>
      </c>
      <c r="D79" s="116">
        <v>32</v>
      </c>
      <c r="E79" s="35" t="s">
        <v>1349</v>
      </c>
      <c r="F79" s="34">
        <f>IFERROR(_xlfn.XLOOKUP(E79,Index!$A:$A,Index!$B:$B),"")</f>
        <v>541</v>
      </c>
    </row>
    <row r="80" spans="1:6" x14ac:dyDescent="0.25">
      <c r="A80" s="26"/>
      <c r="B80" s="26"/>
      <c r="C80" s="64">
        <v>1.5</v>
      </c>
      <c r="D80" s="116">
        <v>40</v>
      </c>
      <c r="E80" s="35" t="s">
        <v>1350</v>
      </c>
      <c r="F80" s="34">
        <f>IFERROR(_xlfn.XLOOKUP(E80,Index!$A:$A,Index!$B:$B),"")</f>
        <v>541</v>
      </c>
    </row>
    <row r="81" spans="1:6" x14ac:dyDescent="0.25">
      <c r="A81" s="26"/>
      <c r="B81" s="26"/>
      <c r="C81" s="64">
        <v>2</v>
      </c>
      <c r="D81" s="116">
        <v>50</v>
      </c>
      <c r="E81" s="35" t="s">
        <v>1351</v>
      </c>
      <c r="F81" s="34">
        <f>IFERROR(_xlfn.XLOOKUP(E81,Index!$A:$A,Index!$B:$B),"")</f>
        <v>541</v>
      </c>
    </row>
    <row r="82" spans="1:6" x14ac:dyDescent="0.25">
      <c r="A82" s="26"/>
      <c r="B82" s="26"/>
      <c r="C82" s="64">
        <v>2.5</v>
      </c>
      <c r="D82" s="116">
        <v>65</v>
      </c>
      <c r="E82" s="35" t="s">
        <v>1352</v>
      </c>
      <c r="F82" s="34">
        <f>IFERROR(_xlfn.XLOOKUP(E82,Index!$A:$A,Index!$B:$B),"")</f>
        <v>996.5</v>
      </c>
    </row>
    <row r="83" spans="1:6" x14ac:dyDescent="0.25">
      <c r="A83" s="26"/>
      <c r="B83" s="26"/>
      <c r="C83" s="64">
        <v>3</v>
      </c>
      <c r="D83" s="116">
        <v>80</v>
      </c>
      <c r="E83" s="35" t="s">
        <v>1353</v>
      </c>
      <c r="F83" s="34">
        <f>IFERROR(_xlfn.XLOOKUP(E83,Index!$A:$A,Index!$B:$B),"")</f>
        <v>996.5</v>
      </c>
    </row>
    <row r="84" spans="1:6" x14ac:dyDescent="0.25">
      <c r="A84" s="26"/>
      <c r="B84" s="60" t="s">
        <v>155</v>
      </c>
      <c r="C84" s="70">
        <v>0.5</v>
      </c>
      <c r="D84" s="38">
        <v>15</v>
      </c>
      <c r="E84" s="35" t="s">
        <v>1822</v>
      </c>
      <c r="F84" s="34">
        <f>IFERROR(_xlfn.XLOOKUP(E84,Index!$A:$A,Index!$B:$B),"")</f>
        <v>498.5</v>
      </c>
    </row>
    <row r="85" spans="1:6" x14ac:dyDescent="0.25">
      <c r="A85" s="26"/>
      <c r="B85" s="26"/>
      <c r="C85" s="64">
        <v>0.75</v>
      </c>
      <c r="D85" s="116">
        <v>20</v>
      </c>
      <c r="E85" s="35" t="s">
        <v>1822</v>
      </c>
      <c r="F85" s="34">
        <f>IFERROR(_xlfn.XLOOKUP(E85,Index!$A:$A,Index!$B:$B),"")</f>
        <v>498.5</v>
      </c>
    </row>
    <row r="86" spans="1:6" x14ac:dyDescent="0.25">
      <c r="A86" s="26"/>
      <c r="B86" s="26"/>
      <c r="C86" s="64">
        <v>1</v>
      </c>
      <c r="D86" s="116">
        <v>25</v>
      </c>
      <c r="E86" s="35" t="s">
        <v>1823</v>
      </c>
      <c r="F86" s="34">
        <f>IFERROR(_xlfn.XLOOKUP(E86,Index!$A:$A,Index!$B:$B),"")</f>
        <v>498.5</v>
      </c>
    </row>
    <row r="87" spans="1:6" x14ac:dyDescent="0.25">
      <c r="A87" s="26"/>
      <c r="B87" s="26"/>
      <c r="C87" s="64">
        <v>1.25</v>
      </c>
      <c r="D87" s="116">
        <v>32</v>
      </c>
      <c r="E87" s="35" t="s">
        <v>1356</v>
      </c>
      <c r="F87" s="34">
        <f>IFERROR(_xlfn.XLOOKUP(E87,Index!$A:$A,Index!$B:$B),"")</f>
        <v>541</v>
      </c>
    </row>
    <row r="88" spans="1:6" x14ac:dyDescent="0.25">
      <c r="A88" s="26"/>
      <c r="B88" s="26"/>
      <c r="C88" s="64">
        <v>1.5</v>
      </c>
      <c r="D88" s="116">
        <v>40</v>
      </c>
      <c r="E88" s="35" t="s">
        <v>1357</v>
      </c>
      <c r="F88" s="34">
        <f>IFERROR(_xlfn.XLOOKUP(E88,Index!$A:$A,Index!$B:$B),"")</f>
        <v>541</v>
      </c>
    </row>
    <row r="89" spans="1:6" x14ac:dyDescent="0.25">
      <c r="A89" s="26"/>
      <c r="B89" s="26"/>
      <c r="C89" s="64">
        <v>2</v>
      </c>
      <c r="D89" s="116">
        <v>50</v>
      </c>
      <c r="E89" s="35" t="s">
        <v>1824</v>
      </c>
      <c r="F89" s="34">
        <f>IFERROR(_xlfn.XLOOKUP(E89,Index!$A:$A,Index!$B:$B),"")</f>
        <v>541</v>
      </c>
    </row>
    <row r="90" spans="1:6" x14ac:dyDescent="0.25">
      <c r="A90" s="26"/>
      <c r="B90" s="26"/>
      <c r="C90" s="64">
        <v>2.5</v>
      </c>
      <c r="D90" s="116">
        <v>65</v>
      </c>
      <c r="E90" s="35" t="s">
        <v>1359</v>
      </c>
      <c r="F90" s="34">
        <f>IFERROR(_xlfn.XLOOKUP(E90,Index!$A:$A,Index!$B:$B),"")</f>
        <v>996.5</v>
      </c>
    </row>
    <row r="91" spans="1:6" x14ac:dyDescent="0.25">
      <c r="A91" s="99"/>
      <c r="B91" s="121"/>
      <c r="C91" s="64">
        <v>3</v>
      </c>
      <c r="D91" s="116">
        <v>80</v>
      </c>
      <c r="E91" s="35" t="s">
        <v>1825</v>
      </c>
      <c r="F91" s="34">
        <f>IFERROR(_xlfn.XLOOKUP(E91,Index!$A:$A,Index!$B:$B),"")</f>
        <v>996.5</v>
      </c>
    </row>
    <row r="92" spans="1:6" x14ac:dyDescent="0.25">
      <c r="A92" s="26"/>
      <c r="B92" s="60" t="s">
        <v>1361</v>
      </c>
      <c r="C92" s="70">
        <v>0.5</v>
      </c>
      <c r="D92" s="38">
        <v>15</v>
      </c>
      <c r="E92" s="35" t="s">
        <v>1362</v>
      </c>
      <c r="F92" s="34">
        <f>IFERROR(_xlfn.XLOOKUP(E92,Index!$A:$A,Index!$B:$B),"")</f>
        <v>25.5</v>
      </c>
    </row>
    <row r="93" spans="1:6" x14ac:dyDescent="0.25">
      <c r="A93" s="26"/>
      <c r="B93" s="26"/>
      <c r="C93" s="64">
        <v>0.75</v>
      </c>
      <c r="D93" s="116">
        <v>20</v>
      </c>
      <c r="E93" s="35" t="s">
        <v>1362</v>
      </c>
      <c r="F93" s="34">
        <f>IFERROR(_xlfn.XLOOKUP(E93,Index!$A:$A,Index!$B:$B),"")</f>
        <v>25.5</v>
      </c>
    </row>
    <row r="94" spans="1:6" x14ac:dyDescent="0.25">
      <c r="A94" s="26"/>
      <c r="B94" s="26"/>
      <c r="C94" s="64">
        <v>1</v>
      </c>
      <c r="D94" s="116">
        <v>25</v>
      </c>
      <c r="E94" s="35" t="s">
        <v>1362</v>
      </c>
      <c r="F94" s="34">
        <f>IFERROR(_xlfn.XLOOKUP(E94,Index!$A:$A,Index!$B:$B),"")</f>
        <v>25.5</v>
      </c>
    </row>
    <row r="95" spans="1:6" x14ac:dyDescent="0.25">
      <c r="A95" s="26"/>
      <c r="B95" s="26"/>
      <c r="C95" s="64">
        <v>1.25</v>
      </c>
      <c r="D95" s="116">
        <v>32</v>
      </c>
      <c r="E95" s="35" t="s">
        <v>1362</v>
      </c>
      <c r="F95" s="34">
        <f>IFERROR(_xlfn.XLOOKUP(E95,Index!$A:$A,Index!$B:$B),"")</f>
        <v>25.5</v>
      </c>
    </row>
    <row r="96" spans="1:6" x14ac:dyDescent="0.25">
      <c r="A96" s="26"/>
      <c r="B96" s="26"/>
      <c r="C96" s="64">
        <v>1.5</v>
      </c>
      <c r="D96" s="116">
        <v>40</v>
      </c>
      <c r="E96" s="35" t="s">
        <v>1362</v>
      </c>
      <c r="F96" s="34">
        <f>IFERROR(_xlfn.XLOOKUP(E96,Index!$A:$A,Index!$B:$B),"")</f>
        <v>25.5</v>
      </c>
    </row>
    <row r="97" spans="1:10" x14ac:dyDescent="0.25">
      <c r="A97" s="26"/>
      <c r="B97" s="26"/>
      <c r="C97" s="64">
        <v>2</v>
      </c>
      <c r="D97" s="116">
        <v>50</v>
      </c>
      <c r="E97" s="35" t="s">
        <v>1363</v>
      </c>
      <c r="F97" s="34">
        <f>IFERROR(_xlfn.XLOOKUP(E97,Index!$A:$A,Index!$B:$B),"")</f>
        <v>25.5</v>
      </c>
    </row>
    <row r="98" spans="1:10" x14ac:dyDescent="0.25">
      <c r="A98" s="26"/>
      <c r="B98" s="26"/>
      <c r="C98" s="64">
        <v>2.5</v>
      </c>
      <c r="D98" s="116">
        <v>65</v>
      </c>
      <c r="E98" s="35" t="s">
        <v>1363</v>
      </c>
      <c r="F98" s="34">
        <f>IFERROR(_xlfn.XLOOKUP(E98,Index!$A:$A,Index!$B:$B),"")</f>
        <v>25.5</v>
      </c>
    </row>
    <row r="99" spans="1:10" x14ac:dyDescent="0.25">
      <c r="A99" s="27"/>
      <c r="B99" s="27"/>
      <c r="C99" s="64">
        <v>3</v>
      </c>
      <c r="D99" s="116">
        <v>80</v>
      </c>
      <c r="E99" s="35" t="s">
        <v>1363</v>
      </c>
      <c r="F99" s="34">
        <f>IFERROR(_xlfn.XLOOKUP(E99,Index!$A:$A,Index!$B:$B),"")</f>
        <v>25.5</v>
      </c>
    </row>
    <row r="102" spans="1:10" ht="31.5" x14ac:dyDescent="0.25">
      <c r="A102" s="62" t="s">
        <v>1826</v>
      </c>
      <c r="B102" s="62" t="s">
        <v>647</v>
      </c>
      <c r="C102" s="93"/>
      <c r="D102" s="3"/>
      <c r="E102" s="8"/>
      <c r="F102" s="9"/>
      <c r="G102" s="10"/>
      <c r="H102" s="19"/>
      <c r="I102" s="19"/>
      <c r="J102" s="19"/>
    </row>
    <row r="103" spans="1:10" x14ac:dyDescent="0.25">
      <c r="A103" s="56" t="s">
        <v>5565</v>
      </c>
      <c r="B103" s="11"/>
      <c r="C103" s="4"/>
      <c r="D103" s="4"/>
      <c r="E103" s="5"/>
      <c r="F103" s="9"/>
      <c r="G103" s="4"/>
      <c r="H103" s="19"/>
      <c r="I103" s="19"/>
      <c r="J103" s="19"/>
    </row>
    <row r="104" spans="1:10" ht="24" x14ac:dyDescent="0.25">
      <c r="A104" s="25" t="s">
        <v>35</v>
      </c>
      <c r="B104" s="28" t="s">
        <v>36</v>
      </c>
      <c r="C104" s="333" t="s">
        <v>37</v>
      </c>
      <c r="D104" s="334"/>
      <c r="E104" s="335" t="s">
        <v>38</v>
      </c>
      <c r="F104" s="336"/>
      <c r="G104" s="335" t="s">
        <v>39</v>
      </c>
      <c r="H104" s="336"/>
      <c r="I104" s="29" t="s">
        <v>1271</v>
      </c>
      <c r="J104" s="24" t="s">
        <v>41</v>
      </c>
    </row>
    <row r="105" spans="1:10" x14ac:dyDescent="0.25">
      <c r="A105" s="32"/>
      <c r="B105" s="32"/>
      <c r="C105" s="33" t="s">
        <v>42</v>
      </c>
      <c r="D105" s="33" t="s">
        <v>43</v>
      </c>
      <c r="E105" s="33" t="s">
        <v>44</v>
      </c>
      <c r="F105" s="33" t="s">
        <v>45</v>
      </c>
      <c r="G105" s="33" t="s">
        <v>46</v>
      </c>
      <c r="H105" s="39" t="s">
        <v>47</v>
      </c>
      <c r="I105" s="33"/>
      <c r="J105" s="41"/>
    </row>
    <row r="106" spans="1:10" x14ac:dyDescent="0.25">
      <c r="A106" s="26" t="s">
        <v>1827</v>
      </c>
      <c r="B106" s="26" t="s">
        <v>1828</v>
      </c>
      <c r="C106" s="30" t="s">
        <v>50</v>
      </c>
      <c r="D106" s="35" t="s">
        <v>176</v>
      </c>
      <c r="E106" s="82" t="s">
        <v>217</v>
      </c>
      <c r="F106" s="37">
        <v>20</v>
      </c>
      <c r="G106" s="35">
        <v>10</v>
      </c>
      <c r="H106" s="38">
        <v>4.5</v>
      </c>
      <c r="I106" s="38" t="s">
        <v>1829</v>
      </c>
      <c r="J106" s="34">
        <f>IFERROR(_xlfn.XLOOKUP(I106,Index!$A:$A,Index!$B:$B),"")</f>
        <v>1150</v>
      </c>
    </row>
    <row r="107" spans="1:10" x14ac:dyDescent="0.25">
      <c r="A107" s="26"/>
      <c r="B107" s="26"/>
      <c r="C107" s="30"/>
      <c r="D107" s="35" t="s">
        <v>53</v>
      </c>
      <c r="E107" s="82" t="s">
        <v>217</v>
      </c>
      <c r="F107" s="37">
        <v>20</v>
      </c>
      <c r="G107" s="35">
        <v>10</v>
      </c>
      <c r="H107" s="38">
        <v>4.5</v>
      </c>
      <c r="I107" s="38" t="s">
        <v>1830</v>
      </c>
      <c r="J107" s="34">
        <f>IFERROR(_xlfn.XLOOKUP(I107,Index!$A:$A,Index!$B:$B),"")</f>
        <v>1230</v>
      </c>
    </row>
    <row r="108" spans="1:10" x14ac:dyDescent="0.25">
      <c r="A108" s="26"/>
      <c r="B108" s="26"/>
      <c r="C108" s="30"/>
      <c r="D108" s="35" t="s">
        <v>55</v>
      </c>
      <c r="E108" s="82" t="s">
        <v>217</v>
      </c>
      <c r="F108" s="37">
        <v>20</v>
      </c>
      <c r="G108" s="35">
        <v>10</v>
      </c>
      <c r="H108" s="38">
        <v>4.5</v>
      </c>
      <c r="I108" s="38" t="s">
        <v>1831</v>
      </c>
      <c r="J108" s="34">
        <f>IFERROR(_xlfn.XLOOKUP(I108,Index!$A:$A,Index!$B:$B),"")</f>
        <v>1230</v>
      </c>
    </row>
    <row r="109" spans="1:10" x14ac:dyDescent="0.25">
      <c r="A109" s="99"/>
      <c r="B109" s="99"/>
      <c r="C109" s="218"/>
      <c r="D109" s="85" t="s">
        <v>176</v>
      </c>
      <c r="E109" s="82" t="s">
        <v>1150</v>
      </c>
      <c r="F109" s="37">
        <v>25</v>
      </c>
      <c r="G109" s="35">
        <v>16</v>
      </c>
      <c r="H109" s="38">
        <v>7.3</v>
      </c>
      <c r="I109" s="38" t="s">
        <v>1832</v>
      </c>
      <c r="J109" s="34">
        <f>IFERROR(_xlfn.XLOOKUP(I109,Index!$A:$A,Index!$B:$B),"")</f>
        <v>1935</v>
      </c>
    </row>
    <row r="110" spans="1:10" x14ac:dyDescent="0.25">
      <c r="A110" s="26"/>
      <c r="B110" s="26"/>
      <c r="C110" s="30"/>
      <c r="D110" s="35" t="s">
        <v>53</v>
      </c>
      <c r="E110" s="82" t="s">
        <v>1150</v>
      </c>
      <c r="F110" s="37">
        <v>25</v>
      </c>
      <c r="G110" s="35">
        <v>16</v>
      </c>
      <c r="H110" s="38">
        <v>7.3</v>
      </c>
      <c r="I110" s="38" t="s">
        <v>1833</v>
      </c>
      <c r="J110" s="34">
        <f>IFERROR(_xlfn.XLOOKUP(I110,Index!$A:$A,Index!$B:$B),"")</f>
        <v>2071</v>
      </c>
    </row>
    <row r="111" spans="1:10" x14ac:dyDescent="0.25">
      <c r="A111" s="26"/>
      <c r="B111" s="26"/>
      <c r="C111" s="30"/>
      <c r="D111" s="35" t="s">
        <v>55</v>
      </c>
      <c r="E111" s="82" t="s">
        <v>1150</v>
      </c>
      <c r="F111" s="37">
        <v>25</v>
      </c>
      <c r="G111" s="35">
        <v>16</v>
      </c>
      <c r="H111" s="38">
        <v>7.3</v>
      </c>
      <c r="I111" s="38" t="s">
        <v>1834</v>
      </c>
      <c r="J111" s="34">
        <f>IFERROR(_xlfn.XLOOKUP(I111,Index!$A:$A,Index!$B:$B),"")</f>
        <v>2071</v>
      </c>
    </row>
    <row r="112" spans="1:10" x14ac:dyDescent="0.25">
      <c r="A112" s="26"/>
      <c r="B112" s="26"/>
      <c r="C112" s="30"/>
      <c r="D112" s="35" t="s">
        <v>176</v>
      </c>
      <c r="E112" s="82" t="s">
        <v>1629</v>
      </c>
      <c r="F112" s="37">
        <v>32</v>
      </c>
      <c r="G112" s="35">
        <v>16</v>
      </c>
      <c r="H112" s="38">
        <v>11.3</v>
      </c>
      <c r="I112" s="38" t="s">
        <v>1797</v>
      </c>
      <c r="J112" s="34">
        <f>IFERROR(_xlfn.XLOOKUP(I112,Index!$A:$A,Index!$B:$B),"")</f>
        <v>1347</v>
      </c>
    </row>
    <row r="113" spans="1:10" x14ac:dyDescent="0.25">
      <c r="A113" s="26"/>
      <c r="B113" s="26"/>
      <c r="C113" s="30"/>
      <c r="D113" s="35" t="s">
        <v>53</v>
      </c>
      <c r="E113" s="82" t="s">
        <v>1629</v>
      </c>
      <c r="F113" s="37">
        <v>32</v>
      </c>
      <c r="G113" s="35">
        <v>16</v>
      </c>
      <c r="H113" s="38">
        <v>11.3</v>
      </c>
      <c r="I113" s="38" t="s">
        <v>5542</v>
      </c>
      <c r="J113" s="46">
        <f>J112+54</f>
        <v>1401</v>
      </c>
    </row>
    <row r="114" spans="1:10" x14ac:dyDescent="0.25">
      <c r="A114" s="26"/>
      <c r="B114" s="26"/>
      <c r="C114" s="30"/>
      <c r="D114" s="35" t="s">
        <v>55</v>
      </c>
      <c r="E114" s="82" t="s">
        <v>1629</v>
      </c>
      <c r="F114" s="37">
        <v>32</v>
      </c>
      <c r="G114" s="35">
        <v>16</v>
      </c>
      <c r="H114" s="38">
        <v>11.3</v>
      </c>
      <c r="I114" s="38" t="s">
        <v>5542</v>
      </c>
      <c r="J114" s="46">
        <f>J113</f>
        <v>1401</v>
      </c>
    </row>
    <row r="115" spans="1:10" x14ac:dyDescent="0.25">
      <c r="A115" s="26"/>
      <c r="B115" s="26"/>
      <c r="C115" s="30"/>
      <c r="D115" s="35" t="s">
        <v>176</v>
      </c>
      <c r="E115" s="82" t="s">
        <v>1632</v>
      </c>
      <c r="F115" s="37">
        <v>40</v>
      </c>
      <c r="G115" s="35">
        <v>25</v>
      </c>
      <c r="H115" s="38">
        <v>11.3</v>
      </c>
      <c r="I115" s="38" t="s">
        <v>1835</v>
      </c>
      <c r="J115" s="34">
        <f>IFERROR(_xlfn.XLOOKUP(I115,Index!$A:$A,Index!$B:$B),"")</f>
        <v>3264</v>
      </c>
    </row>
    <row r="116" spans="1:10" x14ac:dyDescent="0.25">
      <c r="A116" s="26"/>
      <c r="B116" s="26"/>
      <c r="C116" s="30"/>
      <c r="D116" s="35" t="s">
        <v>53</v>
      </c>
      <c r="E116" s="82" t="s">
        <v>1632</v>
      </c>
      <c r="F116" s="37">
        <v>40</v>
      </c>
      <c r="G116" s="35">
        <v>25</v>
      </c>
      <c r="H116" s="38">
        <v>11.3</v>
      </c>
      <c r="I116" s="38" t="s">
        <v>5542</v>
      </c>
      <c r="J116" s="46">
        <f>J117</f>
        <v>3494</v>
      </c>
    </row>
    <row r="117" spans="1:10" x14ac:dyDescent="0.25">
      <c r="A117" s="26"/>
      <c r="B117" s="26"/>
      <c r="C117" s="30"/>
      <c r="D117" s="35" t="s">
        <v>55</v>
      </c>
      <c r="E117" s="82" t="s">
        <v>1632</v>
      </c>
      <c r="F117" s="37">
        <v>40</v>
      </c>
      <c r="G117" s="35">
        <v>25</v>
      </c>
      <c r="H117" s="38">
        <v>11.3</v>
      </c>
      <c r="I117" s="38" t="s">
        <v>1836</v>
      </c>
      <c r="J117" s="34">
        <f>IFERROR(_xlfn.XLOOKUP(I117,Index!$A:$A,Index!$B:$B),"")</f>
        <v>3494</v>
      </c>
    </row>
    <row r="118" spans="1:10" x14ac:dyDescent="0.25">
      <c r="A118" s="26"/>
      <c r="B118" s="26"/>
      <c r="C118" s="30"/>
      <c r="D118" s="35" t="s">
        <v>176</v>
      </c>
      <c r="E118" s="82" t="s">
        <v>1159</v>
      </c>
      <c r="F118" s="37">
        <v>50</v>
      </c>
      <c r="G118" s="35">
        <v>41</v>
      </c>
      <c r="H118" s="38">
        <v>19</v>
      </c>
      <c r="I118" s="38" t="s">
        <v>1837</v>
      </c>
      <c r="J118" s="34">
        <f>IFERROR(_xlfn.XLOOKUP(I118,Index!$A:$A,Index!$B:$B),"")</f>
        <v>6342</v>
      </c>
    </row>
    <row r="119" spans="1:10" x14ac:dyDescent="0.25">
      <c r="A119" s="26"/>
      <c r="B119" s="26"/>
      <c r="C119" s="30"/>
      <c r="D119" s="35" t="s">
        <v>53</v>
      </c>
      <c r="E119" s="82" t="s">
        <v>1159</v>
      </c>
      <c r="F119" s="37">
        <v>50</v>
      </c>
      <c r="G119" s="35">
        <v>41</v>
      </c>
      <c r="H119" s="38">
        <v>19</v>
      </c>
      <c r="I119" s="38" t="s">
        <v>1838</v>
      </c>
      <c r="J119" s="34">
        <f>IFERROR(_xlfn.XLOOKUP(I119,Index!$A:$A,Index!$B:$B),"")</f>
        <v>6789</v>
      </c>
    </row>
    <row r="120" spans="1:10" x14ac:dyDescent="0.25">
      <c r="A120" s="26"/>
      <c r="B120" s="26"/>
      <c r="C120" s="30"/>
      <c r="D120" s="35" t="s">
        <v>55</v>
      </c>
      <c r="E120" s="82" t="s">
        <v>1159</v>
      </c>
      <c r="F120" s="37">
        <v>50</v>
      </c>
      <c r="G120" s="35">
        <v>41</v>
      </c>
      <c r="H120" s="38">
        <v>19</v>
      </c>
      <c r="I120" s="38" t="s">
        <v>1839</v>
      </c>
      <c r="J120" s="34">
        <f>IFERROR(_xlfn.XLOOKUP(I120,Index!$A:$A,Index!$B:$B),"")</f>
        <v>6789</v>
      </c>
    </row>
    <row r="121" spans="1:10" x14ac:dyDescent="0.25">
      <c r="A121" s="26"/>
      <c r="B121" s="26"/>
      <c r="C121" s="30"/>
      <c r="D121" s="35" t="s">
        <v>176</v>
      </c>
      <c r="E121" s="82" t="s">
        <v>1460</v>
      </c>
      <c r="F121" s="37">
        <v>65</v>
      </c>
      <c r="G121" s="35">
        <v>65</v>
      </c>
      <c r="H121" s="38">
        <v>29</v>
      </c>
      <c r="I121" s="38" t="s">
        <v>1840</v>
      </c>
      <c r="J121" s="34">
        <f>IFERROR(_xlfn.XLOOKUP(I121,Index!$A:$A,Index!$B:$B),"")</f>
        <v>6195</v>
      </c>
    </row>
    <row r="122" spans="1:10" x14ac:dyDescent="0.25">
      <c r="A122" s="26"/>
      <c r="B122" s="26"/>
      <c r="C122" s="30"/>
      <c r="D122" s="35" t="s">
        <v>53</v>
      </c>
      <c r="E122" s="82" t="s">
        <v>1460</v>
      </c>
      <c r="F122" s="37">
        <v>65</v>
      </c>
      <c r="G122" s="35">
        <v>65</v>
      </c>
      <c r="H122" s="38">
        <v>29</v>
      </c>
      <c r="I122" s="38" t="s">
        <v>5542</v>
      </c>
      <c r="J122" s="46">
        <f>J121+248</f>
        <v>6443</v>
      </c>
    </row>
    <row r="123" spans="1:10" x14ac:dyDescent="0.25">
      <c r="A123" s="26"/>
      <c r="B123" s="26"/>
      <c r="C123" s="30"/>
      <c r="D123" s="35" t="s">
        <v>55</v>
      </c>
      <c r="E123" s="82" t="s">
        <v>1460</v>
      </c>
      <c r="F123" s="37">
        <v>65</v>
      </c>
      <c r="G123" s="35">
        <v>65</v>
      </c>
      <c r="H123" s="38">
        <v>29</v>
      </c>
      <c r="I123" s="38" t="s">
        <v>5542</v>
      </c>
      <c r="J123" s="46">
        <f>J122</f>
        <v>6443</v>
      </c>
    </row>
    <row r="124" spans="1:10" x14ac:dyDescent="0.25">
      <c r="A124" s="26"/>
      <c r="B124" s="26"/>
      <c r="C124" s="30"/>
      <c r="D124" s="35" t="s">
        <v>176</v>
      </c>
      <c r="E124" s="82" t="s">
        <v>1166</v>
      </c>
      <c r="F124" s="37">
        <v>80</v>
      </c>
      <c r="G124" s="35">
        <v>135</v>
      </c>
      <c r="H124" s="38">
        <v>61</v>
      </c>
      <c r="I124" s="38" t="s">
        <v>1841</v>
      </c>
      <c r="J124" s="34">
        <f>IFERROR(_xlfn.XLOOKUP(I124,Index!$A:$A,Index!$B:$B),"")</f>
        <v>6342</v>
      </c>
    </row>
    <row r="125" spans="1:10" x14ac:dyDescent="0.25">
      <c r="A125" s="26"/>
      <c r="B125" s="26"/>
      <c r="C125" s="30"/>
      <c r="D125" s="35" t="s">
        <v>53</v>
      </c>
      <c r="E125" s="82" t="s">
        <v>1166</v>
      </c>
      <c r="F125" s="37">
        <v>80</v>
      </c>
      <c r="G125" s="35">
        <v>135</v>
      </c>
      <c r="H125" s="38">
        <v>61</v>
      </c>
      <c r="I125" s="38" t="s">
        <v>1842</v>
      </c>
      <c r="J125" s="34">
        <f>IFERROR(_xlfn.XLOOKUP(I125,Index!$A:$A,Index!$B:$B),"")</f>
        <v>6789</v>
      </c>
    </row>
    <row r="126" spans="1:10" x14ac:dyDescent="0.25">
      <c r="A126" s="26"/>
      <c r="B126" s="26"/>
      <c r="C126" s="30"/>
      <c r="D126" s="35" t="s">
        <v>55</v>
      </c>
      <c r="E126" s="82" t="s">
        <v>1166</v>
      </c>
      <c r="F126" s="37">
        <v>80</v>
      </c>
      <c r="G126" s="35">
        <v>135</v>
      </c>
      <c r="H126" s="38">
        <v>61</v>
      </c>
      <c r="I126" s="38" t="s">
        <v>1843</v>
      </c>
      <c r="J126" s="34">
        <f>IFERROR(_xlfn.XLOOKUP(I126,Index!$A:$A,Index!$B:$B),"")</f>
        <v>6789</v>
      </c>
    </row>
    <row r="127" spans="1:10" x14ac:dyDescent="0.25">
      <c r="A127" s="26"/>
      <c r="B127" s="26"/>
      <c r="C127" s="30"/>
      <c r="D127" s="35" t="s">
        <v>176</v>
      </c>
      <c r="E127" s="82" t="s">
        <v>1170</v>
      </c>
      <c r="F127" s="37">
        <v>100</v>
      </c>
      <c r="G127" s="35">
        <v>190</v>
      </c>
      <c r="H127" s="38">
        <v>86</v>
      </c>
      <c r="I127" s="38" t="s">
        <v>1844</v>
      </c>
      <c r="J127" s="34">
        <f>IFERROR(_xlfn.XLOOKUP(I127,Index!$A:$A,Index!$B:$B),"")</f>
        <v>9960</v>
      </c>
    </row>
    <row r="128" spans="1:10" x14ac:dyDescent="0.25">
      <c r="A128" s="26"/>
      <c r="B128" s="26"/>
      <c r="C128" s="30"/>
      <c r="D128" s="35" t="s">
        <v>53</v>
      </c>
      <c r="E128" s="82" t="s">
        <v>1170</v>
      </c>
      <c r="F128" s="37">
        <v>100</v>
      </c>
      <c r="G128" s="35">
        <v>190</v>
      </c>
      <c r="H128" s="38">
        <v>86</v>
      </c>
      <c r="I128" s="38" t="s">
        <v>1845</v>
      </c>
      <c r="J128" s="34">
        <f>IFERROR(_xlfn.XLOOKUP(I128,Index!$A:$A,Index!$B:$B),"")</f>
        <v>10456</v>
      </c>
    </row>
    <row r="129" spans="1:10" x14ac:dyDescent="0.25">
      <c r="A129" s="26"/>
      <c r="B129" s="26"/>
      <c r="C129" s="30"/>
      <c r="D129" s="35" t="s">
        <v>55</v>
      </c>
      <c r="E129" s="82" t="s">
        <v>1170</v>
      </c>
      <c r="F129" s="37">
        <v>100</v>
      </c>
      <c r="G129" s="35">
        <v>190</v>
      </c>
      <c r="H129" s="38">
        <v>86</v>
      </c>
      <c r="I129" s="38" t="s">
        <v>1846</v>
      </c>
      <c r="J129" s="34">
        <f>IFERROR(_xlfn.XLOOKUP(I129,Index!$A:$A,Index!$B:$B),"")</f>
        <v>10660</v>
      </c>
    </row>
    <row r="130" spans="1:10" x14ac:dyDescent="0.25">
      <c r="A130" s="26"/>
      <c r="B130" s="26"/>
      <c r="C130" s="30"/>
      <c r="D130" s="35" t="s">
        <v>241</v>
      </c>
      <c r="E130" s="82" t="s">
        <v>1174</v>
      </c>
      <c r="F130" s="37">
        <v>125</v>
      </c>
      <c r="G130" s="35">
        <v>270</v>
      </c>
      <c r="H130" s="38">
        <v>122</v>
      </c>
      <c r="I130" s="38" t="s">
        <v>1847</v>
      </c>
      <c r="J130" s="34">
        <f>IFERROR(_xlfn.XLOOKUP(I130,Index!$A:$A,Index!$B:$B),"")</f>
        <v>14007</v>
      </c>
    </row>
    <row r="131" spans="1:10" x14ac:dyDescent="0.25">
      <c r="A131" s="26"/>
      <c r="B131" s="26"/>
      <c r="C131" s="30"/>
      <c r="D131" s="35" t="s">
        <v>53</v>
      </c>
      <c r="E131" s="82" t="s">
        <v>1174</v>
      </c>
      <c r="F131" s="37">
        <v>125</v>
      </c>
      <c r="G131" s="35">
        <v>270</v>
      </c>
      <c r="H131" s="38">
        <v>122</v>
      </c>
      <c r="I131" s="38" t="s">
        <v>5542</v>
      </c>
      <c r="J131" s="46">
        <f>J130+560</f>
        <v>14567</v>
      </c>
    </row>
    <row r="132" spans="1:10" x14ac:dyDescent="0.25">
      <c r="A132" s="26"/>
      <c r="B132" s="26"/>
      <c r="C132" s="30"/>
      <c r="D132" s="35" t="s">
        <v>55</v>
      </c>
      <c r="E132" s="82" t="s">
        <v>1174</v>
      </c>
      <c r="F132" s="37">
        <v>125</v>
      </c>
      <c r="G132" s="35">
        <v>270</v>
      </c>
      <c r="H132" s="38">
        <v>122</v>
      </c>
      <c r="I132" s="38" t="s">
        <v>5542</v>
      </c>
      <c r="J132" s="46">
        <f>J131</f>
        <v>14567</v>
      </c>
    </row>
    <row r="133" spans="1:10" x14ac:dyDescent="0.25">
      <c r="A133" s="26"/>
      <c r="B133" s="26"/>
      <c r="C133" s="30"/>
      <c r="D133" s="35" t="s">
        <v>241</v>
      </c>
      <c r="E133" s="82" t="s">
        <v>1178</v>
      </c>
      <c r="F133" s="37">
        <v>150</v>
      </c>
      <c r="G133" s="35">
        <v>497</v>
      </c>
      <c r="H133" s="38">
        <v>225</v>
      </c>
      <c r="I133" s="38" t="s">
        <v>1848</v>
      </c>
      <c r="J133" s="34">
        <f>IFERROR(_xlfn.XLOOKUP(I133,Index!$A:$A,Index!$B:$B),"")</f>
        <v>19939</v>
      </c>
    </row>
    <row r="134" spans="1:10" x14ac:dyDescent="0.25">
      <c r="A134" s="26"/>
      <c r="B134" s="26"/>
      <c r="C134" s="30"/>
      <c r="D134" s="35" t="s">
        <v>53</v>
      </c>
      <c r="E134" s="82" t="s">
        <v>1178</v>
      </c>
      <c r="F134" s="37">
        <v>150</v>
      </c>
      <c r="G134" s="35">
        <v>497</v>
      </c>
      <c r="H134" s="38">
        <v>225</v>
      </c>
      <c r="I134" s="38" t="s">
        <v>5542</v>
      </c>
      <c r="J134" s="46">
        <f>J133+797</f>
        <v>20736</v>
      </c>
    </row>
    <row r="135" spans="1:10" x14ac:dyDescent="0.25">
      <c r="A135" s="26"/>
      <c r="B135" s="26"/>
      <c r="C135" s="30"/>
      <c r="D135" s="35" t="s">
        <v>55</v>
      </c>
      <c r="E135" s="82" t="s">
        <v>1178</v>
      </c>
      <c r="F135" s="37">
        <v>150</v>
      </c>
      <c r="G135" s="35">
        <v>497</v>
      </c>
      <c r="H135" s="38">
        <v>225</v>
      </c>
      <c r="I135" s="38" t="s">
        <v>5542</v>
      </c>
      <c r="J135" s="46">
        <f>J134</f>
        <v>20736</v>
      </c>
    </row>
    <row r="136" spans="1:10" x14ac:dyDescent="0.25">
      <c r="A136" s="26"/>
      <c r="B136" s="26"/>
      <c r="C136" s="30"/>
      <c r="D136" s="35" t="s">
        <v>241</v>
      </c>
      <c r="E136" s="82" t="s">
        <v>1182</v>
      </c>
      <c r="F136" s="37">
        <v>200</v>
      </c>
      <c r="G136" s="35">
        <v>1045</v>
      </c>
      <c r="H136" s="38">
        <v>474</v>
      </c>
      <c r="I136" s="38" t="s">
        <v>1849</v>
      </c>
      <c r="J136" s="34">
        <f>IFERROR(_xlfn.XLOOKUP(I136,Index!$A:$A,Index!$B:$B),"")</f>
        <v>29000</v>
      </c>
    </row>
    <row r="137" spans="1:10" x14ac:dyDescent="0.25">
      <c r="A137" s="26"/>
      <c r="B137" s="26"/>
      <c r="C137" s="30"/>
      <c r="D137" s="35" t="s">
        <v>53</v>
      </c>
      <c r="E137" s="82" t="s">
        <v>1182</v>
      </c>
      <c r="F137" s="37">
        <v>200</v>
      </c>
      <c r="G137" s="35">
        <v>1045</v>
      </c>
      <c r="H137" s="38">
        <v>474</v>
      </c>
      <c r="I137" s="38" t="s">
        <v>5542</v>
      </c>
      <c r="J137" s="46">
        <f>J136+1160</f>
        <v>30160</v>
      </c>
    </row>
    <row r="138" spans="1:10" x14ac:dyDescent="0.25">
      <c r="A138" s="26"/>
      <c r="B138" s="26"/>
      <c r="C138" s="30"/>
      <c r="D138" s="35" t="s">
        <v>55</v>
      </c>
      <c r="E138" s="82" t="s">
        <v>1182</v>
      </c>
      <c r="F138" s="37">
        <v>200</v>
      </c>
      <c r="G138" s="35">
        <v>1045</v>
      </c>
      <c r="H138" s="38">
        <v>474</v>
      </c>
      <c r="I138" s="38" t="s">
        <v>5542</v>
      </c>
      <c r="J138" s="46">
        <f>J137</f>
        <v>30160</v>
      </c>
    </row>
    <row r="139" spans="1:10" x14ac:dyDescent="0.25">
      <c r="A139" s="26"/>
      <c r="B139" s="26"/>
      <c r="C139" s="30"/>
      <c r="D139" s="35" t="s">
        <v>241</v>
      </c>
      <c r="E139" s="82" t="s">
        <v>1186</v>
      </c>
      <c r="F139" s="37">
        <v>250</v>
      </c>
      <c r="G139" s="35">
        <v>1045</v>
      </c>
      <c r="H139" s="38">
        <v>474</v>
      </c>
      <c r="I139" s="38" t="s">
        <v>1850</v>
      </c>
      <c r="J139" s="34">
        <f>IFERROR(_xlfn.XLOOKUP(I139,Index!$A:$A,Index!$B:$B),"")</f>
        <v>47831</v>
      </c>
    </row>
    <row r="140" spans="1:10" x14ac:dyDescent="0.25">
      <c r="A140" s="26"/>
      <c r="B140" s="26"/>
      <c r="C140" s="30"/>
      <c r="D140" s="35" t="s">
        <v>53</v>
      </c>
      <c r="E140" s="82" t="s">
        <v>1186</v>
      </c>
      <c r="F140" s="37">
        <v>250</v>
      </c>
      <c r="G140" s="35">
        <v>1045</v>
      </c>
      <c r="H140" s="38">
        <v>474</v>
      </c>
      <c r="I140" s="38" t="s">
        <v>5542</v>
      </c>
      <c r="J140" s="46">
        <f>J139+1914</f>
        <v>49745</v>
      </c>
    </row>
    <row r="141" spans="1:10" x14ac:dyDescent="0.25">
      <c r="A141" s="27"/>
      <c r="B141" s="27"/>
      <c r="C141" s="31"/>
      <c r="D141" s="35" t="s">
        <v>55</v>
      </c>
      <c r="E141" s="82" t="s">
        <v>1186</v>
      </c>
      <c r="F141" s="37">
        <v>250</v>
      </c>
      <c r="G141" s="35">
        <v>1045</v>
      </c>
      <c r="H141" s="38">
        <v>474</v>
      </c>
      <c r="I141" s="38" t="s">
        <v>5542</v>
      </c>
      <c r="J141" s="46">
        <f>J140</f>
        <v>49745</v>
      </c>
    </row>
    <row r="142" spans="1:10" x14ac:dyDescent="0.25">
      <c r="A142" s="214" t="s">
        <v>1394</v>
      </c>
    </row>
    <row r="144" spans="1:10" ht="15.75" x14ac:dyDescent="0.25">
      <c r="A144" s="217" t="s">
        <v>1826</v>
      </c>
      <c r="B144" s="217" t="s">
        <v>647</v>
      </c>
      <c r="D144" s="49"/>
      <c r="E144" s="50"/>
      <c r="F144" s="101"/>
    </row>
    <row r="145" spans="1:6" ht="15.75" x14ac:dyDescent="0.25">
      <c r="A145" s="48" t="s">
        <v>102</v>
      </c>
      <c r="B145" s="217"/>
      <c r="C145" s="58"/>
      <c r="D145" s="58"/>
      <c r="E145" s="59"/>
      <c r="F145" s="101"/>
    </row>
    <row r="146" spans="1:6" ht="24" x14ac:dyDescent="0.25">
      <c r="A146" s="25" t="s">
        <v>35</v>
      </c>
      <c r="B146" s="28" t="s">
        <v>103</v>
      </c>
      <c r="C146" s="335" t="s">
        <v>38</v>
      </c>
      <c r="D146" s="336"/>
      <c r="E146" s="42" t="s">
        <v>40</v>
      </c>
      <c r="F146" s="43" t="s">
        <v>41</v>
      </c>
    </row>
    <row r="147" spans="1:6" x14ac:dyDescent="0.25">
      <c r="A147" s="32"/>
      <c r="B147" s="32"/>
      <c r="C147" s="33" t="s">
        <v>44</v>
      </c>
      <c r="D147" s="33" t="s">
        <v>45</v>
      </c>
      <c r="E147" s="33"/>
      <c r="F147" s="44"/>
    </row>
    <row r="148" spans="1:6" x14ac:dyDescent="0.25">
      <c r="A148" s="60" t="s">
        <v>1827</v>
      </c>
      <c r="B148" s="60" t="s">
        <v>1308</v>
      </c>
      <c r="C148" s="70">
        <v>0.75</v>
      </c>
      <c r="D148" s="38">
        <v>20</v>
      </c>
      <c r="E148" s="35" t="s">
        <v>1811</v>
      </c>
      <c r="F148" s="34">
        <f>IFERROR(_xlfn.XLOOKUP(E148,Index!$A:$A,Index!$B:$B),"")</f>
        <v>6</v>
      </c>
    </row>
    <row r="149" spans="1:6" x14ac:dyDescent="0.25">
      <c r="A149" s="26"/>
      <c r="B149" s="26"/>
      <c r="C149" s="70">
        <v>1</v>
      </c>
      <c r="D149" s="38">
        <v>25</v>
      </c>
      <c r="E149" s="35" t="s">
        <v>1811</v>
      </c>
      <c r="F149" s="34">
        <f>IFERROR(_xlfn.XLOOKUP(E149,Index!$A:$A,Index!$B:$B),"")</f>
        <v>6</v>
      </c>
    </row>
    <row r="150" spans="1:6" x14ac:dyDescent="0.25">
      <c r="A150" s="26"/>
      <c r="B150" s="26"/>
      <c r="C150" s="64">
        <v>1.25</v>
      </c>
      <c r="D150" s="116">
        <v>32</v>
      </c>
      <c r="E150" s="35" t="s">
        <v>1812</v>
      </c>
      <c r="F150" s="34">
        <f>IFERROR(_xlfn.XLOOKUP(E150,Index!$A:$A,Index!$B:$B),"")</f>
        <v>7.75</v>
      </c>
    </row>
    <row r="151" spans="1:6" x14ac:dyDescent="0.25">
      <c r="A151" s="26"/>
      <c r="B151" s="26"/>
      <c r="C151" s="64">
        <v>1.5</v>
      </c>
      <c r="D151" s="116">
        <v>40</v>
      </c>
      <c r="E151" s="35" t="s">
        <v>1812</v>
      </c>
      <c r="F151" s="34">
        <f>IFERROR(_xlfn.XLOOKUP(E151,Index!$A:$A,Index!$B:$B),"")</f>
        <v>7.75</v>
      </c>
    </row>
    <row r="152" spans="1:6" x14ac:dyDescent="0.25">
      <c r="A152" s="26"/>
      <c r="B152" s="26"/>
      <c r="C152" s="64">
        <v>2</v>
      </c>
      <c r="D152" s="116">
        <v>50</v>
      </c>
      <c r="E152" s="35" t="s">
        <v>1818</v>
      </c>
      <c r="F152" s="34">
        <f>IFERROR(_xlfn.XLOOKUP(E152,Index!$A:$A,Index!$B:$B),"")</f>
        <v>9</v>
      </c>
    </row>
    <row r="153" spans="1:6" x14ac:dyDescent="0.25">
      <c r="A153" s="26"/>
      <c r="B153" s="26"/>
      <c r="C153" s="64">
        <v>2.5</v>
      </c>
      <c r="D153" s="116">
        <v>65</v>
      </c>
      <c r="E153" s="35" t="s">
        <v>1813</v>
      </c>
      <c r="F153" s="34">
        <f>IFERROR(_xlfn.XLOOKUP(E153,Index!$A:$A,Index!$B:$B),"")</f>
        <v>15.75</v>
      </c>
    </row>
    <row r="154" spans="1:6" x14ac:dyDescent="0.25">
      <c r="A154" s="26"/>
      <c r="B154" s="26"/>
      <c r="C154" s="64">
        <v>3</v>
      </c>
      <c r="D154" s="116">
        <v>80</v>
      </c>
      <c r="E154" s="35" t="s">
        <v>1820</v>
      </c>
      <c r="F154" s="34">
        <f>IFERROR(_xlfn.XLOOKUP(E154,Index!$A:$A,Index!$B:$B),"")</f>
        <v>12.5</v>
      </c>
    </row>
    <row r="155" spans="1:6" x14ac:dyDescent="0.25">
      <c r="A155" s="26"/>
      <c r="B155" s="26"/>
      <c r="C155" s="64">
        <v>4</v>
      </c>
      <c r="D155" s="116">
        <v>100</v>
      </c>
      <c r="E155" s="35" t="s">
        <v>1851</v>
      </c>
      <c r="F155" s="34">
        <f>IFERROR(_xlfn.XLOOKUP(E155,Index!$A:$A,Index!$B:$B),"")</f>
        <v>15</v>
      </c>
    </row>
    <row r="156" spans="1:6" x14ac:dyDescent="0.25">
      <c r="A156" s="26"/>
      <c r="B156" s="26"/>
      <c r="C156" s="64">
        <v>5</v>
      </c>
      <c r="D156" s="116">
        <v>125</v>
      </c>
      <c r="E156" s="35" t="s">
        <v>1852</v>
      </c>
      <c r="F156" s="34">
        <f>IFERROR(_xlfn.XLOOKUP(E156,Index!$A:$A,Index!$B:$B),"")</f>
        <v>18.75</v>
      </c>
    </row>
    <row r="157" spans="1:6" x14ac:dyDescent="0.25">
      <c r="A157" s="26"/>
      <c r="B157" s="26"/>
      <c r="C157" s="64">
        <v>6</v>
      </c>
      <c r="D157" s="116">
        <v>150</v>
      </c>
      <c r="E157" s="35" t="s">
        <v>1853</v>
      </c>
      <c r="F157" s="34">
        <f>IFERROR(_xlfn.XLOOKUP(E157,Index!$A:$A,Index!$B:$B),"")</f>
        <v>23.5</v>
      </c>
    </row>
    <row r="158" spans="1:6" x14ac:dyDescent="0.25">
      <c r="A158" s="26"/>
      <c r="B158" s="26"/>
      <c r="C158" s="64">
        <v>8</v>
      </c>
      <c r="D158" s="116">
        <v>200</v>
      </c>
      <c r="E158" s="35" t="s">
        <v>1854</v>
      </c>
      <c r="F158" s="34">
        <f>IFERROR(_xlfn.XLOOKUP(E158,Index!$A:$A,Index!$B:$B),"")</f>
        <v>23.5</v>
      </c>
    </row>
    <row r="159" spans="1:6" x14ac:dyDescent="0.25">
      <c r="A159" s="99"/>
      <c r="B159" s="99"/>
      <c r="C159" s="64">
        <v>10</v>
      </c>
      <c r="D159" s="116">
        <v>250</v>
      </c>
      <c r="E159" s="35" t="s">
        <v>1855</v>
      </c>
      <c r="F159" s="34">
        <f>IFERROR(_xlfn.XLOOKUP(E159,Index!$A:$A,Index!$B:$B),"")</f>
        <v>23.5</v>
      </c>
    </row>
    <row r="160" spans="1:6" x14ac:dyDescent="0.25">
      <c r="A160" s="99"/>
      <c r="B160" s="132" t="s">
        <v>1315</v>
      </c>
      <c r="C160" s="70">
        <v>0.75</v>
      </c>
      <c r="D160" s="38">
        <v>20</v>
      </c>
      <c r="E160" s="35" t="s">
        <v>1816</v>
      </c>
      <c r="F160" s="34">
        <f>IFERROR(_xlfn.XLOOKUP(E160,Index!$A:$A,Index!$B:$B),"")</f>
        <v>6</v>
      </c>
    </row>
    <row r="161" spans="1:6" x14ac:dyDescent="0.25">
      <c r="A161" s="26"/>
      <c r="B161" s="26"/>
      <c r="C161" s="70">
        <v>1</v>
      </c>
      <c r="D161" s="38">
        <v>25</v>
      </c>
      <c r="E161" s="35" t="s">
        <v>1816</v>
      </c>
      <c r="F161" s="34">
        <f>IFERROR(_xlfn.XLOOKUP(E161,Index!$A:$A,Index!$B:$B),"")</f>
        <v>6</v>
      </c>
    </row>
    <row r="162" spans="1:6" x14ac:dyDescent="0.25">
      <c r="A162" s="26"/>
      <c r="B162" s="26"/>
      <c r="C162" s="64">
        <v>1.25</v>
      </c>
      <c r="D162" s="116">
        <v>32</v>
      </c>
      <c r="E162" s="35" t="s">
        <v>1817</v>
      </c>
      <c r="F162" s="34">
        <f>IFERROR(_xlfn.XLOOKUP(E162,Index!$A:$A,Index!$B:$B),"")</f>
        <v>8.5</v>
      </c>
    </row>
    <row r="163" spans="1:6" x14ac:dyDescent="0.25">
      <c r="A163" s="26"/>
      <c r="B163" s="26"/>
      <c r="C163" s="64">
        <v>1.5</v>
      </c>
      <c r="D163" s="116">
        <v>40</v>
      </c>
      <c r="E163" s="35" t="s">
        <v>1817</v>
      </c>
      <c r="F163" s="34">
        <f>IFERROR(_xlfn.XLOOKUP(E163,Index!$A:$A,Index!$B:$B),"")</f>
        <v>8.5</v>
      </c>
    </row>
    <row r="164" spans="1:6" x14ac:dyDescent="0.25">
      <c r="A164" s="26"/>
      <c r="B164" s="26"/>
      <c r="C164" s="64">
        <v>2</v>
      </c>
      <c r="D164" s="116">
        <v>50</v>
      </c>
      <c r="E164" s="35" t="s">
        <v>1812</v>
      </c>
      <c r="F164" s="34">
        <f>IFERROR(_xlfn.XLOOKUP(E164,Index!$A:$A,Index!$B:$B),"")</f>
        <v>7.75</v>
      </c>
    </row>
    <row r="165" spans="1:6" x14ac:dyDescent="0.25">
      <c r="A165" s="26"/>
      <c r="B165" s="26"/>
      <c r="C165" s="64">
        <v>2.5</v>
      </c>
      <c r="D165" s="116">
        <v>65</v>
      </c>
      <c r="E165" s="35" t="s">
        <v>1819</v>
      </c>
      <c r="F165" s="34">
        <f>IFERROR(_xlfn.XLOOKUP(E165,Index!$A:$A,Index!$B:$B),"")</f>
        <v>15.75</v>
      </c>
    </row>
    <row r="166" spans="1:6" x14ac:dyDescent="0.25">
      <c r="A166" s="26"/>
      <c r="B166" s="26"/>
      <c r="C166" s="64">
        <v>3</v>
      </c>
      <c r="D166" s="116">
        <v>80</v>
      </c>
      <c r="E166" s="35" t="s">
        <v>1814</v>
      </c>
      <c r="F166" s="34">
        <f>IFERROR(_xlfn.XLOOKUP(E166,Index!$A:$A,Index!$B:$B),"")</f>
        <v>12.5</v>
      </c>
    </row>
    <row r="167" spans="1:6" x14ac:dyDescent="0.25">
      <c r="A167" s="26"/>
      <c r="B167" s="26"/>
      <c r="C167" s="64">
        <v>4</v>
      </c>
      <c r="D167" s="116">
        <v>100</v>
      </c>
      <c r="E167" s="35" t="s">
        <v>1856</v>
      </c>
      <c r="F167" s="34">
        <f>IFERROR(_xlfn.XLOOKUP(E167,Index!$A:$A,Index!$B:$B),"")</f>
        <v>15</v>
      </c>
    </row>
    <row r="168" spans="1:6" x14ac:dyDescent="0.25">
      <c r="A168" s="26"/>
      <c r="B168" s="26"/>
      <c r="C168" s="64">
        <v>5</v>
      </c>
      <c r="D168" s="116">
        <v>125</v>
      </c>
      <c r="E168" s="35" t="s">
        <v>1820</v>
      </c>
      <c r="F168" s="34">
        <f>IFERROR(_xlfn.XLOOKUP(E168,Index!$A:$A,Index!$B:$B),"")</f>
        <v>12.5</v>
      </c>
    </row>
    <row r="169" spans="1:6" x14ac:dyDescent="0.25">
      <c r="A169" s="26"/>
      <c r="B169" s="26"/>
      <c r="C169" s="64">
        <v>6</v>
      </c>
      <c r="D169" s="116">
        <v>150</v>
      </c>
      <c r="E169" s="35" t="s">
        <v>1857</v>
      </c>
      <c r="F169" s="34">
        <f>IFERROR(_xlfn.XLOOKUP(E169,Index!$A:$A,Index!$B:$B),"")</f>
        <v>18.75</v>
      </c>
    </row>
    <row r="170" spans="1:6" x14ac:dyDescent="0.25">
      <c r="A170" s="26"/>
      <c r="B170" s="26"/>
      <c r="C170" s="64">
        <v>8</v>
      </c>
      <c r="D170" s="116">
        <v>200</v>
      </c>
      <c r="E170" s="35" t="s">
        <v>1858</v>
      </c>
      <c r="F170" s="34">
        <f>IFERROR(_xlfn.XLOOKUP(E170,Index!$A:$A,Index!$B:$B),"")</f>
        <v>18.75</v>
      </c>
    </row>
    <row r="171" spans="1:6" x14ac:dyDescent="0.25">
      <c r="A171" s="26"/>
      <c r="B171" s="215" t="s">
        <v>1315</v>
      </c>
      <c r="C171" s="64">
        <v>10</v>
      </c>
      <c r="D171" s="116">
        <v>250</v>
      </c>
      <c r="E171" s="35" t="s">
        <v>1690</v>
      </c>
      <c r="F171" s="34">
        <f>IFERROR(_xlfn.XLOOKUP(E171,Index!$A:$A,Index!$B:$B),"")</f>
        <v>33.5</v>
      </c>
    </row>
    <row r="172" spans="1:6" x14ac:dyDescent="0.25">
      <c r="A172" s="26"/>
      <c r="B172" s="215" t="s">
        <v>1420</v>
      </c>
      <c r="C172" s="64">
        <v>10</v>
      </c>
      <c r="D172" s="116">
        <v>250</v>
      </c>
      <c r="E172" s="35" t="s">
        <v>1859</v>
      </c>
      <c r="F172" s="34">
        <f>IFERROR(_xlfn.XLOOKUP(E172,Index!$A:$A,Index!$B:$B),"")</f>
        <v>23.5</v>
      </c>
    </row>
    <row r="173" spans="1:6" x14ac:dyDescent="0.25">
      <c r="A173" s="26"/>
      <c r="B173" s="60" t="s">
        <v>210</v>
      </c>
      <c r="C173" s="70">
        <v>0.75</v>
      </c>
      <c r="D173" s="38">
        <v>20</v>
      </c>
      <c r="E173" s="35" t="s">
        <v>1322</v>
      </c>
      <c r="F173" s="34">
        <f>IFERROR(_xlfn.XLOOKUP(E173,Index!$A:$A,Index!$B:$B),"")</f>
        <v>416</v>
      </c>
    </row>
    <row r="174" spans="1:6" x14ac:dyDescent="0.25">
      <c r="A174" s="26"/>
      <c r="B174" s="26"/>
      <c r="C174" s="70">
        <v>1</v>
      </c>
      <c r="D174" s="38">
        <v>25</v>
      </c>
      <c r="E174" s="35" t="s">
        <v>1322</v>
      </c>
      <c r="F174" s="34">
        <f>IFERROR(_xlfn.XLOOKUP(E174,Index!$A:$A,Index!$B:$B),"")</f>
        <v>416</v>
      </c>
    </row>
    <row r="175" spans="1:6" x14ac:dyDescent="0.25">
      <c r="A175" s="26"/>
      <c r="B175" s="26"/>
      <c r="C175" s="64">
        <v>1.25</v>
      </c>
      <c r="D175" s="116">
        <v>32</v>
      </c>
      <c r="E175" s="35" t="s">
        <v>1323</v>
      </c>
      <c r="F175" s="34">
        <f>IFERROR(_xlfn.XLOOKUP(E175,Index!$A:$A,Index!$B:$B),"")</f>
        <v>457.5</v>
      </c>
    </row>
    <row r="176" spans="1:6" x14ac:dyDescent="0.25">
      <c r="A176" s="26"/>
      <c r="B176" s="26"/>
      <c r="C176" s="64">
        <v>1.5</v>
      </c>
      <c r="D176" s="116">
        <v>40</v>
      </c>
      <c r="E176" s="35" t="s">
        <v>1323</v>
      </c>
      <c r="F176" s="34">
        <f>IFERROR(_xlfn.XLOOKUP(E176,Index!$A:$A,Index!$B:$B),"")</f>
        <v>457.5</v>
      </c>
    </row>
    <row r="177" spans="1:6" x14ac:dyDescent="0.25">
      <c r="A177" s="26"/>
      <c r="B177" s="26"/>
      <c r="C177" s="64">
        <v>2</v>
      </c>
      <c r="D177" s="116">
        <v>50</v>
      </c>
      <c r="E177" s="35" t="s">
        <v>1324</v>
      </c>
      <c r="F177" s="34">
        <f>IFERROR(_xlfn.XLOOKUP(E177,Index!$A:$A,Index!$B:$B),"")</f>
        <v>457.5</v>
      </c>
    </row>
    <row r="178" spans="1:6" x14ac:dyDescent="0.25">
      <c r="A178" s="26"/>
      <c r="B178" s="26"/>
      <c r="C178" s="64">
        <v>2.5</v>
      </c>
      <c r="D178" s="116">
        <v>65</v>
      </c>
      <c r="E178" s="35" t="s">
        <v>1325</v>
      </c>
      <c r="F178" s="34">
        <f>IFERROR(_xlfn.XLOOKUP(E178,Index!$A:$A,Index!$B:$B),"")</f>
        <v>582</v>
      </c>
    </row>
    <row r="179" spans="1:6" x14ac:dyDescent="0.25">
      <c r="A179" s="66"/>
      <c r="B179" s="26"/>
      <c r="C179" s="64">
        <v>3</v>
      </c>
      <c r="D179" s="116">
        <v>80</v>
      </c>
      <c r="E179" s="35" t="s">
        <v>1326</v>
      </c>
      <c r="F179" s="34">
        <f>IFERROR(_xlfn.XLOOKUP(E179,Index!$A:$A,Index!$B:$B),"")</f>
        <v>582</v>
      </c>
    </row>
    <row r="180" spans="1:6" x14ac:dyDescent="0.25">
      <c r="A180" s="66"/>
      <c r="B180" s="139"/>
      <c r="C180" s="64">
        <v>4</v>
      </c>
      <c r="D180" s="116">
        <v>100</v>
      </c>
      <c r="E180" s="35" t="s">
        <v>1423</v>
      </c>
      <c r="F180" s="34">
        <f>IFERROR(_xlfn.XLOOKUP(E180,Index!$A:$A,Index!$B:$B),"")</f>
        <v>747.5</v>
      </c>
    </row>
    <row r="181" spans="1:6" x14ac:dyDescent="0.25">
      <c r="A181" s="26"/>
      <c r="B181" s="26" t="s">
        <v>298</v>
      </c>
      <c r="C181" s="64">
        <v>5</v>
      </c>
      <c r="D181" s="116">
        <v>125</v>
      </c>
      <c r="E181" s="35" t="s">
        <v>1425</v>
      </c>
      <c r="F181" s="34">
        <f>IFERROR(_xlfn.XLOOKUP(E181,Index!$A:$A,Index!$B:$B),"")</f>
        <v>1662</v>
      </c>
    </row>
    <row r="182" spans="1:6" x14ac:dyDescent="0.25">
      <c r="A182" s="26"/>
      <c r="B182" s="26"/>
      <c r="C182" s="64">
        <v>6</v>
      </c>
      <c r="D182" s="116">
        <v>150</v>
      </c>
      <c r="E182" s="35" t="s">
        <v>1426</v>
      </c>
      <c r="F182" s="34">
        <f>IFERROR(_xlfn.XLOOKUP(E182,Index!$A:$A,Index!$B:$B),"")</f>
        <v>1953</v>
      </c>
    </row>
    <row r="183" spans="1:6" x14ac:dyDescent="0.25">
      <c r="A183" s="26"/>
      <c r="B183" s="26"/>
      <c r="C183" s="64">
        <v>8</v>
      </c>
      <c r="D183" s="116">
        <v>200</v>
      </c>
      <c r="E183" s="35" t="s">
        <v>1427</v>
      </c>
      <c r="F183" s="34">
        <f>IFERROR(_xlfn.XLOOKUP(E183,Index!$A:$A,Index!$B:$B),"")</f>
        <v>2325</v>
      </c>
    </row>
    <row r="184" spans="1:6" x14ac:dyDescent="0.25">
      <c r="A184" s="26"/>
      <c r="B184" s="26"/>
      <c r="C184" s="64">
        <v>10</v>
      </c>
      <c r="D184" s="116">
        <v>250</v>
      </c>
      <c r="E184" s="35" t="s">
        <v>1428</v>
      </c>
      <c r="F184" s="34">
        <f>IFERROR(_xlfn.XLOOKUP(E184,Index!$A:$A,Index!$B:$B),"")</f>
        <v>2658</v>
      </c>
    </row>
    <row r="185" spans="1:6" x14ac:dyDescent="0.25">
      <c r="A185" s="26"/>
      <c r="B185" s="60" t="s">
        <v>211</v>
      </c>
      <c r="C185" s="70">
        <v>0.75</v>
      </c>
      <c r="D185" s="38">
        <v>20</v>
      </c>
      <c r="E185" s="35" t="s">
        <v>1328</v>
      </c>
      <c r="F185" s="34">
        <f>IFERROR(_xlfn.XLOOKUP(E185,Index!$A:$A,Index!$B:$B),"")</f>
        <v>498.5</v>
      </c>
    </row>
    <row r="186" spans="1:6" x14ac:dyDescent="0.25">
      <c r="A186" s="26"/>
      <c r="B186" s="26"/>
      <c r="C186" s="70">
        <v>1</v>
      </c>
      <c r="D186" s="38">
        <v>25</v>
      </c>
      <c r="E186" s="35" t="s">
        <v>1328</v>
      </c>
      <c r="F186" s="34">
        <f>IFERROR(_xlfn.XLOOKUP(E186,Index!$A:$A,Index!$B:$B),"")</f>
        <v>498.5</v>
      </c>
    </row>
    <row r="187" spans="1:6" x14ac:dyDescent="0.25">
      <c r="A187" s="26"/>
      <c r="B187" s="26"/>
      <c r="C187" s="64">
        <v>1.25</v>
      </c>
      <c r="D187" s="116">
        <v>32</v>
      </c>
      <c r="E187" s="35" t="s">
        <v>1329</v>
      </c>
      <c r="F187" s="34">
        <f>IFERROR(_xlfn.XLOOKUP(E187,Index!$A:$A,Index!$B:$B),"")</f>
        <v>541</v>
      </c>
    </row>
    <row r="188" spans="1:6" x14ac:dyDescent="0.25">
      <c r="A188" s="26"/>
      <c r="B188" s="26"/>
      <c r="C188" s="64">
        <v>1.5</v>
      </c>
      <c r="D188" s="116">
        <v>40</v>
      </c>
      <c r="E188" s="35" t="s">
        <v>1330</v>
      </c>
      <c r="F188" s="34">
        <f>IFERROR(_xlfn.XLOOKUP(E188,Index!$A:$A,Index!$B:$B),"")</f>
        <v>541</v>
      </c>
    </row>
    <row r="189" spans="1:6" x14ac:dyDescent="0.25">
      <c r="A189" s="26"/>
      <c r="B189" s="26"/>
      <c r="C189" s="64">
        <v>2</v>
      </c>
      <c r="D189" s="116">
        <v>50</v>
      </c>
      <c r="E189" s="35" t="s">
        <v>1331</v>
      </c>
      <c r="F189" s="34">
        <f>IFERROR(_xlfn.XLOOKUP(E189,Index!$A:$A,Index!$B:$B),"")</f>
        <v>541</v>
      </c>
    </row>
    <row r="190" spans="1:6" x14ac:dyDescent="0.25">
      <c r="A190" s="26"/>
      <c r="B190" s="26"/>
      <c r="C190" s="64">
        <v>2.5</v>
      </c>
      <c r="D190" s="116">
        <v>65</v>
      </c>
      <c r="E190" s="35" t="s">
        <v>1332</v>
      </c>
      <c r="F190" s="34">
        <f>IFERROR(_xlfn.XLOOKUP(E190,Index!$A:$A,Index!$B:$B),"")</f>
        <v>996.5</v>
      </c>
    </row>
    <row r="191" spans="1:6" x14ac:dyDescent="0.25">
      <c r="A191" s="26"/>
      <c r="B191" s="26"/>
      <c r="C191" s="64">
        <v>3</v>
      </c>
      <c r="D191" s="116">
        <v>80</v>
      </c>
      <c r="E191" s="35" t="s">
        <v>1333</v>
      </c>
      <c r="F191" s="34">
        <f>IFERROR(_xlfn.XLOOKUP(E191,Index!$A:$A,Index!$B:$B),"")</f>
        <v>996.5</v>
      </c>
    </row>
    <row r="192" spans="1:6" x14ac:dyDescent="0.25">
      <c r="A192" s="26"/>
      <c r="B192" s="26"/>
      <c r="C192" s="64">
        <v>4</v>
      </c>
      <c r="D192" s="116">
        <v>100</v>
      </c>
      <c r="E192" s="35" t="s">
        <v>1430</v>
      </c>
      <c r="F192" s="34">
        <f>IFERROR(_xlfn.XLOOKUP(E192,Index!$A:$A,Index!$B:$B),"")</f>
        <v>1080</v>
      </c>
    </row>
    <row r="193" spans="1:6" x14ac:dyDescent="0.25">
      <c r="A193" s="26"/>
      <c r="B193" s="26"/>
      <c r="C193" s="64">
        <v>5</v>
      </c>
      <c r="D193" s="116">
        <v>125</v>
      </c>
      <c r="E193" s="35" t="s">
        <v>1431</v>
      </c>
      <c r="F193" s="34">
        <f>IFERROR(_xlfn.XLOOKUP(E193,Index!$A:$A,Index!$B:$B),"")</f>
        <v>2492</v>
      </c>
    </row>
    <row r="194" spans="1:6" x14ac:dyDescent="0.25">
      <c r="A194" s="26"/>
      <c r="B194" s="26"/>
      <c r="C194" s="64">
        <v>6</v>
      </c>
      <c r="D194" s="116">
        <v>150</v>
      </c>
      <c r="E194" s="35" t="s">
        <v>1432</v>
      </c>
      <c r="F194" s="34">
        <f>IFERROR(_xlfn.XLOOKUP(E194,Index!$A:$A,Index!$B:$B),"")</f>
        <v>2658</v>
      </c>
    </row>
    <row r="195" spans="1:6" x14ac:dyDescent="0.25">
      <c r="A195" s="26"/>
      <c r="B195" s="26"/>
      <c r="C195" s="64">
        <v>8</v>
      </c>
      <c r="D195" s="116">
        <v>200</v>
      </c>
      <c r="E195" s="35" t="s">
        <v>1433</v>
      </c>
      <c r="F195" s="34">
        <f>IFERROR(_xlfn.XLOOKUP(E195,Index!$A:$A,Index!$B:$B),"")</f>
        <v>2908</v>
      </c>
    </row>
    <row r="196" spans="1:6" x14ac:dyDescent="0.25">
      <c r="A196" s="26"/>
      <c r="B196" s="26"/>
      <c r="C196" s="64">
        <v>10</v>
      </c>
      <c r="D196" s="116">
        <v>250</v>
      </c>
      <c r="E196" s="35" t="s">
        <v>1434</v>
      </c>
      <c r="F196" s="34">
        <f>IFERROR(_xlfn.XLOOKUP(E196,Index!$A:$A,Index!$B:$B),"")</f>
        <v>3239</v>
      </c>
    </row>
    <row r="197" spans="1:6" x14ac:dyDescent="0.25">
      <c r="A197" s="26"/>
      <c r="B197" s="60" t="s">
        <v>122</v>
      </c>
      <c r="C197" s="70">
        <v>0.75</v>
      </c>
      <c r="D197" s="38">
        <v>20</v>
      </c>
      <c r="E197" s="35" t="s">
        <v>1335</v>
      </c>
      <c r="F197" s="34">
        <f>IFERROR(_xlfn.XLOOKUP(E197,Index!$A:$A,Index!$B:$B),"")</f>
        <v>498.5</v>
      </c>
    </row>
    <row r="198" spans="1:6" x14ac:dyDescent="0.25">
      <c r="A198" s="26"/>
      <c r="B198" s="26"/>
      <c r="C198" s="70">
        <v>1</v>
      </c>
      <c r="D198" s="38">
        <v>25</v>
      </c>
      <c r="E198" s="35" t="s">
        <v>1335</v>
      </c>
      <c r="F198" s="34">
        <f>IFERROR(_xlfn.XLOOKUP(E198,Index!$A:$A,Index!$B:$B),"")</f>
        <v>498.5</v>
      </c>
    </row>
    <row r="199" spans="1:6" x14ac:dyDescent="0.25">
      <c r="A199" s="26"/>
      <c r="B199" s="26"/>
      <c r="C199" s="64">
        <v>1.25</v>
      </c>
      <c r="D199" s="116">
        <v>32</v>
      </c>
      <c r="E199" s="35" t="s">
        <v>1336</v>
      </c>
      <c r="F199" s="34">
        <f>IFERROR(_xlfn.XLOOKUP(E199,Index!$A:$A,Index!$B:$B),"")</f>
        <v>541</v>
      </c>
    </row>
    <row r="200" spans="1:6" x14ac:dyDescent="0.25">
      <c r="A200" s="26"/>
      <c r="B200" s="26"/>
      <c r="C200" s="64">
        <v>1.5</v>
      </c>
      <c r="D200" s="116">
        <v>40</v>
      </c>
      <c r="E200" s="35" t="s">
        <v>1336</v>
      </c>
      <c r="F200" s="34">
        <f>IFERROR(_xlfn.XLOOKUP(E200,Index!$A:$A,Index!$B:$B),"")</f>
        <v>541</v>
      </c>
    </row>
    <row r="201" spans="1:6" x14ac:dyDescent="0.25">
      <c r="A201" s="26"/>
      <c r="B201" s="26"/>
      <c r="C201" s="64">
        <v>2</v>
      </c>
      <c r="D201" s="116">
        <v>50</v>
      </c>
      <c r="E201" s="35" t="s">
        <v>1337</v>
      </c>
      <c r="F201" s="34">
        <f>IFERROR(_xlfn.XLOOKUP(E201,Index!$A:$A,Index!$B:$B),"")</f>
        <v>541</v>
      </c>
    </row>
    <row r="202" spans="1:6" x14ac:dyDescent="0.25">
      <c r="A202" s="26"/>
      <c r="B202" s="26"/>
      <c r="C202" s="64">
        <v>2.5</v>
      </c>
      <c r="D202" s="116">
        <v>65</v>
      </c>
      <c r="E202" s="35" t="s">
        <v>1338</v>
      </c>
      <c r="F202" s="34">
        <f>IFERROR(_xlfn.XLOOKUP(E202,Index!$A:$A,Index!$B:$B),"")</f>
        <v>996.5</v>
      </c>
    </row>
    <row r="203" spans="1:6" x14ac:dyDescent="0.25">
      <c r="A203" s="26"/>
      <c r="B203" s="26"/>
      <c r="C203" s="64">
        <v>3</v>
      </c>
      <c r="D203" s="116">
        <v>80</v>
      </c>
      <c r="E203" s="35" t="s">
        <v>1339</v>
      </c>
      <c r="F203" s="34">
        <f>IFERROR(_xlfn.XLOOKUP(E203,Index!$A:$A,Index!$B:$B),"")</f>
        <v>996.5</v>
      </c>
    </row>
    <row r="204" spans="1:6" x14ac:dyDescent="0.25">
      <c r="A204" s="26"/>
      <c r="B204" s="26"/>
      <c r="C204" s="64">
        <v>4</v>
      </c>
      <c r="D204" s="116">
        <v>100</v>
      </c>
      <c r="E204" s="35" t="s">
        <v>1436</v>
      </c>
      <c r="F204" s="34">
        <f>IFERROR(_xlfn.XLOOKUP(E204,Index!$A:$A,Index!$B:$B),"")</f>
        <v>1080</v>
      </c>
    </row>
    <row r="205" spans="1:6" x14ac:dyDescent="0.25">
      <c r="A205" s="26"/>
      <c r="B205" s="26"/>
      <c r="C205" s="64">
        <v>5</v>
      </c>
      <c r="D205" s="116">
        <v>125</v>
      </c>
      <c r="E205" s="38" t="s">
        <v>5542</v>
      </c>
      <c r="F205" s="250">
        <f>F206-100</f>
        <v>2558</v>
      </c>
    </row>
    <row r="206" spans="1:6" x14ac:dyDescent="0.25">
      <c r="A206" s="26"/>
      <c r="B206" s="26"/>
      <c r="C206" s="64">
        <v>6</v>
      </c>
      <c r="D206" s="116">
        <v>150</v>
      </c>
      <c r="E206" s="35" t="s">
        <v>1437</v>
      </c>
      <c r="F206" s="34">
        <f>IFERROR(_xlfn.XLOOKUP(E206,Index!$A:$A,Index!$B:$B),"")</f>
        <v>2658</v>
      </c>
    </row>
    <row r="207" spans="1:6" x14ac:dyDescent="0.25">
      <c r="A207" s="26"/>
      <c r="B207" s="26"/>
      <c r="C207" s="64">
        <v>8</v>
      </c>
      <c r="D207" s="116">
        <v>200</v>
      </c>
      <c r="E207" s="35" t="s">
        <v>1438</v>
      </c>
      <c r="F207" s="34">
        <f>IFERROR(_xlfn.XLOOKUP(E207,Index!$A:$A,Index!$B:$B),"")</f>
        <v>2908</v>
      </c>
    </row>
    <row r="208" spans="1:6" x14ac:dyDescent="0.25">
      <c r="A208" s="26"/>
      <c r="B208" s="26"/>
      <c r="C208" s="64">
        <v>10</v>
      </c>
      <c r="D208" s="116">
        <v>250</v>
      </c>
      <c r="E208" s="35" t="s">
        <v>1439</v>
      </c>
      <c r="F208" s="34">
        <f>IFERROR(_xlfn.XLOOKUP(E208,Index!$A:$A,Index!$B:$B),"")</f>
        <v>3239</v>
      </c>
    </row>
    <row r="209" spans="1:6" x14ac:dyDescent="0.25">
      <c r="A209" s="26"/>
      <c r="B209" s="60" t="s">
        <v>134</v>
      </c>
      <c r="C209" s="70">
        <v>0.75</v>
      </c>
      <c r="D209" s="38">
        <v>20</v>
      </c>
      <c r="E209" s="35" t="s">
        <v>1341</v>
      </c>
      <c r="F209" s="34">
        <f>IFERROR(_xlfn.XLOOKUP(E209,Index!$A:$A,Index!$B:$B),"")</f>
        <v>498.5</v>
      </c>
    </row>
    <row r="210" spans="1:6" x14ac:dyDescent="0.25">
      <c r="A210" s="26"/>
      <c r="B210" s="26"/>
      <c r="C210" s="70">
        <v>1</v>
      </c>
      <c r="D210" s="38">
        <v>25</v>
      </c>
      <c r="E210" s="35" t="s">
        <v>1341</v>
      </c>
      <c r="F210" s="34">
        <f>IFERROR(_xlfn.XLOOKUP(E210,Index!$A:$A,Index!$B:$B),"")</f>
        <v>498.5</v>
      </c>
    </row>
    <row r="211" spans="1:6" x14ac:dyDescent="0.25">
      <c r="A211" s="26"/>
      <c r="B211" s="26"/>
      <c r="C211" s="64">
        <v>1.25</v>
      </c>
      <c r="D211" s="116">
        <v>32</v>
      </c>
      <c r="E211" s="35" t="s">
        <v>1342</v>
      </c>
      <c r="F211" s="34">
        <f>IFERROR(_xlfn.XLOOKUP(E211,Index!$A:$A,Index!$B:$B),"")</f>
        <v>541</v>
      </c>
    </row>
    <row r="212" spans="1:6" x14ac:dyDescent="0.25">
      <c r="A212" s="26"/>
      <c r="B212" s="26"/>
      <c r="C212" s="64">
        <v>1.5</v>
      </c>
      <c r="D212" s="116">
        <v>40</v>
      </c>
      <c r="E212" s="35" t="s">
        <v>1343</v>
      </c>
      <c r="F212" s="34">
        <f>IFERROR(_xlfn.XLOOKUP(E212,Index!$A:$A,Index!$B:$B),"")</f>
        <v>541</v>
      </c>
    </row>
    <row r="213" spans="1:6" x14ac:dyDescent="0.25">
      <c r="A213" s="26"/>
      <c r="B213" s="26"/>
      <c r="C213" s="64">
        <v>2</v>
      </c>
      <c r="D213" s="116">
        <v>50</v>
      </c>
      <c r="E213" s="35" t="s">
        <v>1344</v>
      </c>
      <c r="F213" s="34">
        <f>IFERROR(_xlfn.XLOOKUP(E213,Index!$A:$A,Index!$B:$B),"")</f>
        <v>541</v>
      </c>
    </row>
    <row r="214" spans="1:6" x14ac:dyDescent="0.25">
      <c r="A214" s="26"/>
      <c r="B214" s="26"/>
      <c r="C214" s="64">
        <v>2.5</v>
      </c>
      <c r="D214" s="116">
        <v>65</v>
      </c>
      <c r="E214" s="35" t="s">
        <v>1345</v>
      </c>
      <c r="F214" s="34">
        <f>IFERROR(_xlfn.XLOOKUP(E214,Index!$A:$A,Index!$B:$B),"")</f>
        <v>996.5</v>
      </c>
    </row>
    <row r="215" spans="1:6" x14ac:dyDescent="0.25">
      <c r="A215" s="26"/>
      <c r="B215" s="26"/>
      <c r="C215" s="64">
        <v>3</v>
      </c>
      <c r="D215" s="116">
        <v>80</v>
      </c>
      <c r="E215" s="35" t="s">
        <v>1346</v>
      </c>
      <c r="F215" s="34">
        <f>IFERROR(_xlfn.XLOOKUP(E215,Index!$A:$A,Index!$B:$B),"")</f>
        <v>996.5</v>
      </c>
    </row>
    <row r="216" spans="1:6" x14ac:dyDescent="0.25">
      <c r="A216" s="26"/>
      <c r="B216" s="26"/>
      <c r="C216" s="64">
        <v>4</v>
      </c>
      <c r="D216" s="116">
        <v>100</v>
      </c>
      <c r="E216" s="35" t="s">
        <v>1441</v>
      </c>
      <c r="F216" s="34">
        <f>IFERROR(_xlfn.XLOOKUP(E216,Index!$A:$A,Index!$B:$B),"")</f>
        <v>1080</v>
      </c>
    </row>
    <row r="217" spans="1:6" x14ac:dyDescent="0.25">
      <c r="A217" s="26"/>
      <c r="B217" s="26"/>
      <c r="C217" s="64">
        <v>5</v>
      </c>
      <c r="D217" s="116">
        <v>125</v>
      </c>
      <c r="E217" s="38" t="s">
        <v>5542</v>
      </c>
      <c r="F217" s="250">
        <f>$F$205</f>
        <v>2558</v>
      </c>
    </row>
    <row r="218" spans="1:6" x14ac:dyDescent="0.25">
      <c r="A218" s="26"/>
      <c r="B218" s="26"/>
      <c r="C218" s="64">
        <v>6</v>
      </c>
      <c r="D218" s="116">
        <v>150</v>
      </c>
      <c r="E218" s="35" t="s">
        <v>1442</v>
      </c>
      <c r="F218" s="34">
        <f>IFERROR(_xlfn.XLOOKUP(E218,Index!$A:$A,Index!$B:$B),"")</f>
        <v>2658</v>
      </c>
    </row>
    <row r="219" spans="1:6" x14ac:dyDescent="0.25">
      <c r="A219" s="26"/>
      <c r="B219" s="26"/>
      <c r="C219" s="64">
        <v>8</v>
      </c>
      <c r="D219" s="116">
        <v>200</v>
      </c>
      <c r="E219" s="35" t="s">
        <v>1443</v>
      </c>
      <c r="F219" s="34">
        <f>IFERROR(_xlfn.XLOOKUP(E219,Index!$A:$A,Index!$B:$B),"")</f>
        <v>2908</v>
      </c>
    </row>
    <row r="220" spans="1:6" x14ac:dyDescent="0.25">
      <c r="A220" s="26"/>
      <c r="B220" s="26"/>
      <c r="C220" s="64">
        <v>10</v>
      </c>
      <c r="D220" s="116">
        <v>250</v>
      </c>
      <c r="E220" s="35" t="s">
        <v>1444</v>
      </c>
      <c r="F220" s="34">
        <f>IFERROR(_xlfn.XLOOKUP(E220,Index!$A:$A,Index!$B:$B),"")</f>
        <v>3239</v>
      </c>
    </row>
    <row r="221" spans="1:6" x14ac:dyDescent="0.25">
      <c r="A221" s="26"/>
      <c r="B221" s="60" t="s">
        <v>145</v>
      </c>
      <c r="C221" s="70">
        <v>0.75</v>
      </c>
      <c r="D221" s="38">
        <v>20</v>
      </c>
      <c r="E221" s="35" t="s">
        <v>1348</v>
      </c>
      <c r="F221" s="34">
        <f>IFERROR(_xlfn.XLOOKUP(E221,Index!$A:$A,Index!$B:$B),"")</f>
        <v>498.5</v>
      </c>
    </row>
    <row r="222" spans="1:6" x14ac:dyDescent="0.25">
      <c r="A222" s="26"/>
      <c r="B222" s="26"/>
      <c r="C222" s="70">
        <v>1</v>
      </c>
      <c r="D222" s="38">
        <v>25</v>
      </c>
      <c r="E222" s="35" t="s">
        <v>1348</v>
      </c>
      <c r="F222" s="34">
        <f>IFERROR(_xlfn.XLOOKUP(E222,Index!$A:$A,Index!$B:$B),"")</f>
        <v>498.5</v>
      </c>
    </row>
    <row r="223" spans="1:6" x14ac:dyDescent="0.25">
      <c r="A223" s="26"/>
      <c r="B223" s="26"/>
      <c r="C223" s="64">
        <v>1.25</v>
      </c>
      <c r="D223" s="116">
        <v>32</v>
      </c>
      <c r="E223" s="35" t="s">
        <v>1349</v>
      </c>
      <c r="F223" s="34">
        <f>IFERROR(_xlfn.XLOOKUP(E223,Index!$A:$A,Index!$B:$B),"")</f>
        <v>541</v>
      </c>
    </row>
    <row r="224" spans="1:6" x14ac:dyDescent="0.25">
      <c r="A224" s="26"/>
      <c r="B224" s="26"/>
      <c r="C224" s="64">
        <v>1.5</v>
      </c>
      <c r="D224" s="116">
        <v>40</v>
      </c>
      <c r="E224" s="35" t="s">
        <v>1350</v>
      </c>
      <c r="F224" s="34">
        <f>IFERROR(_xlfn.XLOOKUP(E224,Index!$A:$A,Index!$B:$B),"")</f>
        <v>541</v>
      </c>
    </row>
    <row r="225" spans="1:6" x14ac:dyDescent="0.25">
      <c r="A225" s="26"/>
      <c r="B225" s="26"/>
      <c r="C225" s="64">
        <v>2</v>
      </c>
      <c r="D225" s="116">
        <v>50</v>
      </c>
      <c r="E225" s="35" t="s">
        <v>1351</v>
      </c>
      <c r="F225" s="34">
        <f>IFERROR(_xlfn.XLOOKUP(E225,Index!$A:$A,Index!$B:$B),"")</f>
        <v>541</v>
      </c>
    </row>
    <row r="226" spans="1:6" x14ac:dyDescent="0.25">
      <c r="A226" s="26"/>
      <c r="B226" s="26"/>
      <c r="C226" s="64">
        <v>2.5</v>
      </c>
      <c r="D226" s="116">
        <v>65</v>
      </c>
      <c r="E226" s="35" t="s">
        <v>1352</v>
      </c>
      <c r="F226" s="34">
        <f>IFERROR(_xlfn.XLOOKUP(E226,Index!$A:$A,Index!$B:$B),"")</f>
        <v>996.5</v>
      </c>
    </row>
    <row r="227" spans="1:6" x14ac:dyDescent="0.25">
      <c r="A227" s="26"/>
      <c r="B227" s="26"/>
      <c r="C227" s="64">
        <v>3</v>
      </c>
      <c r="D227" s="116">
        <v>80</v>
      </c>
      <c r="E227" s="35" t="s">
        <v>1353</v>
      </c>
      <c r="F227" s="34">
        <f>IFERROR(_xlfn.XLOOKUP(E227,Index!$A:$A,Index!$B:$B),"")</f>
        <v>996.5</v>
      </c>
    </row>
    <row r="228" spans="1:6" x14ac:dyDescent="0.25">
      <c r="A228" s="26"/>
      <c r="B228" s="26"/>
      <c r="C228" s="64">
        <v>4</v>
      </c>
      <c r="D228" s="116">
        <v>100</v>
      </c>
      <c r="E228" s="35" t="s">
        <v>1446</v>
      </c>
      <c r="F228" s="34">
        <f>IFERROR(_xlfn.XLOOKUP(E228,Index!$A:$A,Index!$B:$B),"")</f>
        <v>1080</v>
      </c>
    </row>
    <row r="229" spans="1:6" x14ac:dyDescent="0.25">
      <c r="A229" s="26"/>
      <c r="B229" s="26"/>
      <c r="C229" s="64">
        <v>5</v>
      </c>
      <c r="D229" s="116">
        <v>125</v>
      </c>
      <c r="E229" s="38" t="s">
        <v>5542</v>
      </c>
      <c r="F229" s="250">
        <f>$F$205</f>
        <v>2558</v>
      </c>
    </row>
    <row r="230" spans="1:6" x14ac:dyDescent="0.25">
      <c r="A230" s="26"/>
      <c r="B230" s="26"/>
      <c r="C230" s="64">
        <v>6</v>
      </c>
      <c r="D230" s="116">
        <v>150</v>
      </c>
      <c r="E230" s="35" t="s">
        <v>1447</v>
      </c>
      <c r="F230" s="34">
        <f>IFERROR(_xlfn.XLOOKUP(E230,Index!$A:$A,Index!$B:$B),"")</f>
        <v>2658</v>
      </c>
    </row>
    <row r="231" spans="1:6" x14ac:dyDescent="0.25">
      <c r="A231" s="26"/>
      <c r="B231" s="26"/>
      <c r="C231" s="64">
        <v>8</v>
      </c>
      <c r="D231" s="116">
        <v>200</v>
      </c>
      <c r="E231" s="35" t="s">
        <v>1448</v>
      </c>
      <c r="F231" s="34">
        <f>IFERROR(_xlfn.XLOOKUP(E231,Index!$A:$A,Index!$B:$B),"")</f>
        <v>2908</v>
      </c>
    </row>
    <row r="232" spans="1:6" x14ac:dyDescent="0.25">
      <c r="A232" s="26"/>
      <c r="B232" s="26"/>
      <c r="C232" s="64">
        <v>10</v>
      </c>
      <c r="D232" s="116">
        <v>250</v>
      </c>
      <c r="E232" s="38" t="s">
        <v>5542</v>
      </c>
      <c r="F232" s="250">
        <f>F220</f>
        <v>3239</v>
      </c>
    </row>
    <row r="233" spans="1:6" x14ac:dyDescent="0.25">
      <c r="A233" s="26"/>
      <c r="B233" s="60" t="s">
        <v>155</v>
      </c>
      <c r="C233" s="70">
        <v>0.75</v>
      </c>
      <c r="D233" s="38">
        <v>20</v>
      </c>
      <c r="E233" s="35" t="s">
        <v>1355</v>
      </c>
      <c r="F233" s="34">
        <f>IFERROR(_xlfn.XLOOKUP(E233,Index!$A:$A,Index!$B:$B),"")</f>
        <v>498.5</v>
      </c>
    </row>
    <row r="234" spans="1:6" x14ac:dyDescent="0.25">
      <c r="A234" s="26"/>
      <c r="B234" s="26"/>
      <c r="C234" s="70">
        <v>1</v>
      </c>
      <c r="D234" s="38">
        <v>25</v>
      </c>
      <c r="E234" s="35" t="s">
        <v>1355</v>
      </c>
      <c r="F234" s="34">
        <f>IFERROR(_xlfn.XLOOKUP(E234,Index!$A:$A,Index!$B:$B),"")</f>
        <v>498.5</v>
      </c>
    </row>
    <row r="235" spans="1:6" x14ac:dyDescent="0.25">
      <c r="A235" s="26"/>
      <c r="B235" s="26"/>
      <c r="C235" s="64">
        <v>1.25</v>
      </c>
      <c r="D235" s="116">
        <v>32</v>
      </c>
      <c r="E235" s="35" t="s">
        <v>1356</v>
      </c>
      <c r="F235" s="34">
        <f>IFERROR(_xlfn.XLOOKUP(E235,Index!$A:$A,Index!$B:$B),"")</f>
        <v>541</v>
      </c>
    </row>
    <row r="236" spans="1:6" x14ac:dyDescent="0.25">
      <c r="A236" s="26"/>
      <c r="B236" s="26"/>
      <c r="C236" s="64">
        <v>1.5</v>
      </c>
      <c r="D236" s="116">
        <v>40</v>
      </c>
      <c r="E236" s="35" t="s">
        <v>1357</v>
      </c>
      <c r="F236" s="34">
        <f>IFERROR(_xlfn.XLOOKUP(E236,Index!$A:$A,Index!$B:$B),"")</f>
        <v>541</v>
      </c>
    </row>
    <row r="237" spans="1:6" x14ac:dyDescent="0.25">
      <c r="A237" s="26"/>
      <c r="B237" s="26"/>
      <c r="C237" s="64">
        <v>2</v>
      </c>
      <c r="D237" s="116">
        <v>50</v>
      </c>
      <c r="E237" s="35" t="s">
        <v>1358</v>
      </c>
      <c r="F237" s="34">
        <f>IFERROR(_xlfn.XLOOKUP(E237,Index!$A:$A,Index!$B:$B),"")</f>
        <v>541</v>
      </c>
    </row>
    <row r="238" spans="1:6" x14ac:dyDescent="0.25">
      <c r="A238" s="26"/>
      <c r="B238" s="26"/>
      <c r="C238" s="64">
        <v>2.5</v>
      </c>
      <c r="D238" s="116">
        <v>65</v>
      </c>
      <c r="E238" s="35" t="s">
        <v>1359</v>
      </c>
      <c r="F238" s="34">
        <f>IFERROR(_xlfn.XLOOKUP(E238,Index!$A:$A,Index!$B:$B),"")</f>
        <v>996.5</v>
      </c>
    </row>
    <row r="239" spans="1:6" x14ac:dyDescent="0.25">
      <c r="A239" s="26"/>
      <c r="B239" s="26"/>
      <c r="C239" s="64">
        <v>3</v>
      </c>
      <c r="D239" s="116">
        <v>80</v>
      </c>
      <c r="E239" s="35" t="s">
        <v>1360</v>
      </c>
      <c r="F239" s="34">
        <f>IFERROR(_xlfn.XLOOKUP(E239,Index!$A:$A,Index!$B:$B),"")</f>
        <v>996.5</v>
      </c>
    </row>
    <row r="240" spans="1:6" x14ac:dyDescent="0.25">
      <c r="A240" s="26"/>
      <c r="B240" s="26"/>
      <c r="C240" s="64">
        <v>4</v>
      </c>
      <c r="D240" s="116">
        <v>100</v>
      </c>
      <c r="E240" s="35" t="s">
        <v>1450</v>
      </c>
      <c r="F240" s="34">
        <f>IFERROR(_xlfn.XLOOKUP(E240,Index!$A:$A,Index!$B:$B),"")</f>
        <v>1080</v>
      </c>
    </row>
    <row r="241" spans="1:10" x14ac:dyDescent="0.25">
      <c r="A241" s="26"/>
      <c r="B241" s="26"/>
      <c r="C241" s="64">
        <v>5</v>
      </c>
      <c r="D241" s="116">
        <v>125</v>
      </c>
      <c r="E241" s="38" t="s">
        <v>5542</v>
      </c>
      <c r="F241" s="250">
        <f>$F$205</f>
        <v>2558</v>
      </c>
    </row>
    <row r="242" spans="1:10" x14ac:dyDescent="0.25">
      <c r="A242" s="26"/>
      <c r="B242" s="26"/>
      <c r="C242" s="64">
        <v>6</v>
      </c>
      <c r="D242" s="116">
        <v>150</v>
      </c>
      <c r="E242" s="35" t="s">
        <v>1451</v>
      </c>
      <c r="F242" s="34">
        <f>IFERROR(_xlfn.XLOOKUP(E242,Index!$A:$A,Index!$B:$B),"")</f>
        <v>2658</v>
      </c>
    </row>
    <row r="243" spans="1:10" x14ac:dyDescent="0.25">
      <c r="A243" s="26"/>
      <c r="B243" s="26"/>
      <c r="C243" s="64">
        <v>8</v>
      </c>
      <c r="D243" s="116">
        <v>200</v>
      </c>
      <c r="E243" s="35" t="s">
        <v>1452</v>
      </c>
      <c r="F243" s="34">
        <f>IFERROR(_xlfn.XLOOKUP(E243,Index!$A:$A,Index!$B:$B),"")</f>
        <v>2908</v>
      </c>
    </row>
    <row r="244" spans="1:10" x14ac:dyDescent="0.25">
      <c r="A244" s="99"/>
      <c r="B244" s="121"/>
      <c r="C244" s="64">
        <v>10</v>
      </c>
      <c r="D244" s="116">
        <v>250</v>
      </c>
      <c r="E244" s="35" t="s">
        <v>1453</v>
      </c>
      <c r="F244" s="34">
        <f>IFERROR(_xlfn.XLOOKUP(E244,Index!$A:$A,Index!$B:$B),"")</f>
        <v>3239</v>
      </c>
    </row>
    <row r="245" spans="1:10" x14ac:dyDescent="0.25">
      <c r="A245" s="26"/>
      <c r="B245" s="60" t="s">
        <v>1361</v>
      </c>
      <c r="C245" s="70">
        <v>0.5</v>
      </c>
      <c r="D245" s="38">
        <v>15</v>
      </c>
      <c r="E245" s="35" t="s">
        <v>1362</v>
      </c>
      <c r="F245" s="34">
        <f>IFERROR(_xlfn.XLOOKUP(E245,Index!$A:$A,Index!$B:$B),"")</f>
        <v>25.5</v>
      </c>
    </row>
    <row r="246" spans="1:10" x14ac:dyDescent="0.25">
      <c r="A246" s="26"/>
      <c r="B246" s="26"/>
      <c r="C246" s="64">
        <v>0.75</v>
      </c>
      <c r="D246" s="116">
        <v>20</v>
      </c>
      <c r="E246" s="35" t="s">
        <v>1362</v>
      </c>
      <c r="F246" s="34">
        <f>IFERROR(_xlfn.XLOOKUP(E246,Index!$A:$A,Index!$B:$B),"")</f>
        <v>25.5</v>
      </c>
    </row>
    <row r="247" spans="1:10" x14ac:dyDescent="0.25">
      <c r="A247" s="26"/>
      <c r="B247" s="26"/>
      <c r="C247" s="64">
        <v>1</v>
      </c>
      <c r="D247" s="116">
        <v>25</v>
      </c>
      <c r="E247" s="35" t="s">
        <v>1362</v>
      </c>
      <c r="F247" s="34">
        <f>IFERROR(_xlfn.XLOOKUP(E247,Index!$A:$A,Index!$B:$B),"")</f>
        <v>25.5</v>
      </c>
    </row>
    <row r="248" spans="1:10" x14ac:dyDescent="0.25">
      <c r="A248" s="26"/>
      <c r="B248" s="26"/>
      <c r="C248" s="64">
        <v>1.25</v>
      </c>
      <c r="D248" s="116">
        <v>32</v>
      </c>
      <c r="E248" s="35" t="s">
        <v>1362</v>
      </c>
      <c r="F248" s="34">
        <f>IFERROR(_xlfn.XLOOKUP(E248,Index!$A:$A,Index!$B:$B),"")</f>
        <v>25.5</v>
      </c>
    </row>
    <row r="249" spans="1:10" x14ac:dyDescent="0.25">
      <c r="A249" s="26"/>
      <c r="B249" s="26"/>
      <c r="C249" s="64">
        <v>1.5</v>
      </c>
      <c r="D249" s="116">
        <v>40</v>
      </c>
      <c r="E249" s="35" t="s">
        <v>1362</v>
      </c>
      <c r="F249" s="34">
        <f>IFERROR(_xlfn.XLOOKUP(E249,Index!$A:$A,Index!$B:$B),"")</f>
        <v>25.5</v>
      </c>
    </row>
    <row r="250" spans="1:10" x14ac:dyDescent="0.25">
      <c r="A250" s="26"/>
      <c r="B250" s="26"/>
      <c r="C250" s="64">
        <v>2</v>
      </c>
      <c r="D250" s="116">
        <v>50</v>
      </c>
      <c r="E250" s="35" t="s">
        <v>1363</v>
      </c>
      <c r="F250" s="34">
        <f>IFERROR(_xlfn.XLOOKUP(E250,Index!$A:$A,Index!$B:$B),"")</f>
        <v>25.5</v>
      </c>
    </row>
    <row r="251" spans="1:10" x14ac:dyDescent="0.25">
      <c r="A251" s="26"/>
      <c r="B251" s="26"/>
      <c r="C251" s="64">
        <v>2.5</v>
      </c>
      <c r="D251" s="116">
        <v>65</v>
      </c>
      <c r="E251" s="35" t="s">
        <v>1363</v>
      </c>
      <c r="F251" s="34">
        <f>IFERROR(_xlfn.XLOOKUP(E251,Index!$A:$A,Index!$B:$B),"")</f>
        <v>25.5</v>
      </c>
    </row>
    <row r="252" spans="1:10" x14ac:dyDescent="0.25">
      <c r="A252" s="27"/>
      <c r="B252" s="27"/>
      <c r="C252" s="64">
        <v>3</v>
      </c>
      <c r="D252" s="116">
        <v>80</v>
      </c>
      <c r="E252" s="35" t="s">
        <v>1363</v>
      </c>
      <c r="F252" s="34">
        <f>IFERROR(_xlfn.XLOOKUP(E252,Index!$A:$A,Index!$B:$B),"")</f>
        <v>25.5</v>
      </c>
    </row>
    <row r="255" spans="1:10" ht="31.5" x14ac:dyDescent="0.25">
      <c r="A255" s="150" t="s">
        <v>1860</v>
      </c>
      <c r="B255" s="150" t="s">
        <v>647</v>
      </c>
      <c r="C255" s="93"/>
      <c r="D255" s="153"/>
      <c r="E255" s="154"/>
      <c r="F255" s="155"/>
      <c r="G255" s="156"/>
      <c r="H255" s="157"/>
      <c r="I255" s="157"/>
      <c r="J255" s="190"/>
    </row>
    <row r="256" spans="1:10" x14ac:dyDescent="0.25">
      <c r="A256" s="56" t="s">
        <v>5567</v>
      </c>
      <c r="B256" s="159"/>
      <c r="C256" s="160"/>
      <c r="D256" s="160"/>
      <c r="E256" s="161"/>
      <c r="F256" s="155"/>
      <c r="G256" s="160"/>
      <c r="H256" s="157"/>
      <c r="I256" s="157"/>
      <c r="J256" s="190"/>
    </row>
    <row r="257" spans="1:10" ht="24" x14ac:dyDescent="0.25">
      <c r="A257" s="192" t="s">
        <v>35</v>
      </c>
      <c r="B257" s="193" t="s">
        <v>36</v>
      </c>
      <c r="C257" s="341" t="s">
        <v>37</v>
      </c>
      <c r="D257" s="342"/>
      <c r="E257" s="340" t="s">
        <v>38</v>
      </c>
      <c r="F257" s="343"/>
      <c r="G257" s="340" t="s">
        <v>39</v>
      </c>
      <c r="H257" s="343"/>
      <c r="I257" s="194" t="s">
        <v>1271</v>
      </c>
      <c r="J257" s="164" t="s">
        <v>41</v>
      </c>
    </row>
    <row r="258" spans="1:10" x14ac:dyDescent="0.25">
      <c r="A258" s="195"/>
      <c r="B258" s="195"/>
      <c r="C258" s="166" t="s">
        <v>42</v>
      </c>
      <c r="D258" s="166" t="s">
        <v>43</v>
      </c>
      <c r="E258" s="166" t="s">
        <v>44</v>
      </c>
      <c r="F258" s="166" t="s">
        <v>45</v>
      </c>
      <c r="G258" s="166" t="s">
        <v>46</v>
      </c>
      <c r="H258" s="167" t="s">
        <v>47</v>
      </c>
      <c r="I258" s="166"/>
      <c r="J258" s="168"/>
    </row>
    <row r="259" spans="1:10" x14ac:dyDescent="0.25">
      <c r="A259" s="196" t="s">
        <v>1861</v>
      </c>
      <c r="B259" s="196" t="s">
        <v>1828</v>
      </c>
      <c r="C259" s="197" t="s">
        <v>50</v>
      </c>
      <c r="D259" s="173" t="s">
        <v>176</v>
      </c>
      <c r="E259" s="198" t="s">
        <v>1632</v>
      </c>
      <c r="F259" s="172">
        <v>40</v>
      </c>
      <c r="G259" s="173">
        <v>23</v>
      </c>
      <c r="H259" s="175">
        <v>10.4</v>
      </c>
      <c r="I259" s="38" t="s">
        <v>1862</v>
      </c>
      <c r="J259" s="34">
        <f>IFERROR(_xlfn.XLOOKUP(I259,Index!$A:$A,Index!$B:$B),"")</f>
        <v>2765</v>
      </c>
    </row>
    <row r="260" spans="1:10" x14ac:dyDescent="0.25">
      <c r="A260" s="196"/>
      <c r="B260" s="196"/>
      <c r="C260" s="197"/>
      <c r="D260" s="173" t="s">
        <v>53</v>
      </c>
      <c r="E260" s="198" t="s">
        <v>1632</v>
      </c>
      <c r="F260" s="172">
        <v>40</v>
      </c>
      <c r="G260" s="173">
        <v>23</v>
      </c>
      <c r="H260" s="175">
        <v>10.4</v>
      </c>
      <c r="I260" s="38" t="s">
        <v>5542</v>
      </c>
      <c r="J260" s="199">
        <f>J261</f>
        <v>2904</v>
      </c>
    </row>
    <row r="261" spans="1:10" x14ac:dyDescent="0.25">
      <c r="A261" s="196"/>
      <c r="B261" s="196"/>
      <c r="C261" s="197"/>
      <c r="D261" s="173" t="s">
        <v>55</v>
      </c>
      <c r="E261" s="198" t="s">
        <v>1632</v>
      </c>
      <c r="F261" s="172">
        <v>40</v>
      </c>
      <c r="G261" s="173">
        <v>23</v>
      </c>
      <c r="H261" s="175">
        <v>10.4</v>
      </c>
      <c r="I261" s="175" t="s">
        <v>1863</v>
      </c>
      <c r="J261" s="34">
        <f>IFERROR(_xlfn.XLOOKUP(I261,Index!$A:$A,Index!$B:$B),"")</f>
        <v>2904</v>
      </c>
    </row>
    <row r="262" spans="1:10" x14ac:dyDescent="0.25">
      <c r="A262" s="196"/>
      <c r="B262" s="196"/>
      <c r="C262" s="197"/>
      <c r="D262" s="173" t="s">
        <v>176</v>
      </c>
      <c r="E262" s="198" t="s">
        <v>1159</v>
      </c>
      <c r="F262" s="172">
        <v>50</v>
      </c>
      <c r="G262" s="173">
        <v>35</v>
      </c>
      <c r="H262" s="175">
        <v>15.9</v>
      </c>
      <c r="I262" s="38" t="s">
        <v>1864</v>
      </c>
      <c r="J262" s="34">
        <f>IFERROR(_xlfn.XLOOKUP(I262,Index!$A:$A,Index!$B:$B),"")</f>
        <v>3181</v>
      </c>
    </row>
    <row r="263" spans="1:10" x14ac:dyDescent="0.25">
      <c r="A263" s="196"/>
      <c r="B263" s="196"/>
      <c r="C263" s="197"/>
      <c r="D263" s="173" t="s">
        <v>53</v>
      </c>
      <c r="E263" s="198" t="s">
        <v>1159</v>
      </c>
      <c r="F263" s="172">
        <v>50</v>
      </c>
      <c r="G263" s="173">
        <v>35</v>
      </c>
      <c r="H263" s="175">
        <v>15.9</v>
      </c>
      <c r="I263" s="175" t="s">
        <v>1865</v>
      </c>
      <c r="J263" s="34">
        <f>IFERROR(_xlfn.XLOOKUP(I263,Index!$A:$A,Index!$B:$B),"")</f>
        <v>3339</v>
      </c>
    </row>
    <row r="264" spans="1:10" x14ac:dyDescent="0.25">
      <c r="A264" s="196"/>
      <c r="B264" s="196"/>
      <c r="C264" s="197"/>
      <c r="D264" s="173" t="s">
        <v>55</v>
      </c>
      <c r="E264" s="198" t="s">
        <v>1159</v>
      </c>
      <c r="F264" s="172">
        <v>50</v>
      </c>
      <c r="G264" s="173">
        <v>35</v>
      </c>
      <c r="H264" s="175" t="s">
        <v>1866</v>
      </c>
      <c r="I264" s="38" t="s">
        <v>5542</v>
      </c>
      <c r="J264" s="199">
        <f>J263</f>
        <v>3339</v>
      </c>
    </row>
    <row r="265" spans="1:10" x14ac:dyDescent="0.25">
      <c r="A265" s="196"/>
      <c r="B265" s="196"/>
      <c r="C265" s="197"/>
      <c r="D265" s="173" t="s">
        <v>176</v>
      </c>
      <c r="E265" s="198" t="s">
        <v>1460</v>
      </c>
      <c r="F265" s="172">
        <v>65</v>
      </c>
      <c r="G265" s="173">
        <v>41</v>
      </c>
      <c r="H265" s="175">
        <v>19</v>
      </c>
      <c r="I265" s="38" t="s">
        <v>1867</v>
      </c>
      <c r="J265" s="34">
        <f>IFERROR(_xlfn.XLOOKUP(I265,Index!$A:$A,Index!$B:$B),"")</f>
        <v>3622</v>
      </c>
    </row>
    <row r="266" spans="1:10" x14ac:dyDescent="0.25">
      <c r="A266" s="196"/>
      <c r="B266" s="196"/>
      <c r="C266" s="197"/>
      <c r="D266" s="173" t="s">
        <v>53</v>
      </c>
      <c r="E266" s="198" t="s">
        <v>1460</v>
      </c>
      <c r="F266" s="172">
        <v>65</v>
      </c>
      <c r="G266" s="173">
        <v>41</v>
      </c>
      <c r="H266" s="175">
        <v>19</v>
      </c>
      <c r="I266" s="38" t="s">
        <v>5542</v>
      </c>
      <c r="J266" s="199">
        <f>J267</f>
        <v>3805</v>
      </c>
    </row>
    <row r="267" spans="1:10" x14ac:dyDescent="0.25">
      <c r="A267" s="196"/>
      <c r="B267" s="196"/>
      <c r="C267" s="197"/>
      <c r="D267" s="173" t="s">
        <v>55</v>
      </c>
      <c r="E267" s="198" t="s">
        <v>1460</v>
      </c>
      <c r="F267" s="172">
        <v>65</v>
      </c>
      <c r="G267" s="173">
        <v>41</v>
      </c>
      <c r="H267" s="175">
        <v>19</v>
      </c>
      <c r="I267" s="175" t="s">
        <v>1868</v>
      </c>
      <c r="J267" s="34">
        <f>IFERROR(_xlfn.XLOOKUP(I267,Index!$A:$A,Index!$B:$B),"")</f>
        <v>3805</v>
      </c>
    </row>
    <row r="268" spans="1:10" x14ac:dyDescent="0.25">
      <c r="A268" s="196"/>
      <c r="B268" s="196"/>
      <c r="C268" s="197"/>
      <c r="D268" s="173" t="s">
        <v>176</v>
      </c>
      <c r="E268" s="198" t="s">
        <v>1166</v>
      </c>
      <c r="F268" s="172">
        <v>80</v>
      </c>
      <c r="G268" s="173">
        <v>51</v>
      </c>
      <c r="H268" s="175">
        <v>23</v>
      </c>
      <c r="I268" s="38" t="s">
        <v>1869</v>
      </c>
      <c r="J268" s="34">
        <f>IFERROR(_xlfn.XLOOKUP(I268,Index!$A:$A,Index!$B:$B),"")</f>
        <v>4427</v>
      </c>
    </row>
    <row r="269" spans="1:10" x14ac:dyDescent="0.25">
      <c r="A269" s="196"/>
      <c r="B269" s="196"/>
      <c r="C269" s="197"/>
      <c r="D269" s="173" t="s">
        <v>53</v>
      </c>
      <c r="E269" s="198" t="s">
        <v>1166</v>
      </c>
      <c r="F269" s="172">
        <v>80</v>
      </c>
      <c r="G269" s="173">
        <v>51</v>
      </c>
      <c r="H269" s="175">
        <v>23</v>
      </c>
      <c r="I269" s="175" t="s">
        <v>1870</v>
      </c>
      <c r="J269" s="34">
        <f>IFERROR(_xlfn.XLOOKUP(I269,Index!$A:$A,Index!$B:$B),"")</f>
        <v>4958</v>
      </c>
    </row>
    <row r="270" spans="1:10" x14ac:dyDescent="0.25">
      <c r="A270" s="196"/>
      <c r="B270" s="196"/>
      <c r="C270" s="197"/>
      <c r="D270" s="173" t="s">
        <v>55</v>
      </c>
      <c r="E270" s="198" t="s">
        <v>1166</v>
      </c>
      <c r="F270" s="172">
        <v>80</v>
      </c>
      <c r="G270" s="173">
        <v>51</v>
      </c>
      <c r="H270" s="175">
        <v>23</v>
      </c>
      <c r="I270" s="175" t="s">
        <v>1871</v>
      </c>
      <c r="J270" s="34">
        <f>IFERROR(_xlfn.XLOOKUP(I270,Index!$A:$A,Index!$B:$B),"")</f>
        <v>4649</v>
      </c>
    </row>
    <row r="271" spans="1:10" x14ac:dyDescent="0.25">
      <c r="A271" s="196"/>
      <c r="B271" s="196"/>
      <c r="C271" s="197"/>
      <c r="D271" s="173" t="s">
        <v>176</v>
      </c>
      <c r="E271" s="198" t="s">
        <v>1170</v>
      </c>
      <c r="F271" s="172">
        <v>100</v>
      </c>
      <c r="G271" s="173">
        <v>78</v>
      </c>
      <c r="H271" s="175">
        <v>35</v>
      </c>
      <c r="I271" s="38" t="s">
        <v>1872</v>
      </c>
      <c r="J271" s="34">
        <f>IFERROR(_xlfn.XLOOKUP(I271,Index!$A:$A,Index!$B:$B),"")</f>
        <v>7648</v>
      </c>
    </row>
    <row r="272" spans="1:10" x14ac:dyDescent="0.25">
      <c r="A272" s="196"/>
      <c r="B272" s="196"/>
      <c r="C272" s="197"/>
      <c r="D272" s="173" t="s">
        <v>53</v>
      </c>
      <c r="E272" s="198" t="s">
        <v>1170</v>
      </c>
      <c r="F272" s="172">
        <v>100</v>
      </c>
      <c r="G272" s="173">
        <v>78</v>
      </c>
      <c r="H272" s="175">
        <v>35</v>
      </c>
      <c r="I272" s="175" t="s">
        <v>1873</v>
      </c>
      <c r="J272" s="34">
        <f>IFERROR(_xlfn.XLOOKUP(I272,Index!$A:$A,Index!$B:$B),"")</f>
        <v>8030</v>
      </c>
    </row>
    <row r="273" spans="1:10" x14ac:dyDescent="0.25">
      <c r="A273" s="196"/>
      <c r="B273" s="196"/>
      <c r="C273" s="197"/>
      <c r="D273" s="173" t="s">
        <v>55</v>
      </c>
      <c r="E273" s="198" t="s">
        <v>1170</v>
      </c>
      <c r="F273" s="172">
        <v>100</v>
      </c>
      <c r="G273" s="173">
        <v>78</v>
      </c>
      <c r="H273" s="175">
        <v>35</v>
      </c>
      <c r="I273" s="175" t="s">
        <v>1874</v>
      </c>
      <c r="J273" s="34">
        <f>IFERROR(_xlfn.XLOOKUP(I273,Index!$A:$A,Index!$B:$B),"")</f>
        <v>8030</v>
      </c>
    </row>
    <row r="274" spans="1:10" x14ac:dyDescent="0.25">
      <c r="A274" s="196"/>
      <c r="B274" s="196"/>
      <c r="C274" s="197"/>
      <c r="D274" s="173" t="s">
        <v>241</v>
      </c>
      <c r="E274" s="198" t="s">
        <v>1174</v>
      </c>
      <c r="F274" s="172">
        <v>125</v>
      </c>
      <c r="G274" s="173">
        <v>108</v>
      </c>
      <c r="H274" s="175">
        <v>49</v>
      </c>
      <c r="I274" s="38" t="s">
        <v>1875</v>
      </c>
      <c r="J274" s="34">
        <f>IFERROR(_xlfn.XLOOKUP(I274,Index!$A:$A,Index!$B:$B),"")</f>
        <v>8180</v>
      </c>
    </row>
    <row r="275" spans="1:10" x14ac:dyDescent="0.25">
      <c r="A275" s="196"/>
      <c r="B275" s="196"/>
      <c r="C275" s="197"/>
      <c r="D275" s="173" t="s">
        <v>53</v>
      </c>
      <c r="E275" s="198" t="s">
        <v>1174</v>
      </c>
      <c r="F275" s="172">
        <v>125</v>
      </c>
      <c r="G275" s="173">
        <v>108</v>
      </c>
      <c r="H275" s="175">
        <v>49</v>
      </c>
      <c r="I275" s="38" t="s">
        <v>5542</v>
      </c>
      <c r="J275" s="199">
        <f>J274+321</f>
        <v>8501</v>
      </c>
    </row>
    <row r="276" spans="1:10" x14ac:dyDescent="0.25">
      <c r="A276" s="196"/>
      <c r="B276" s="196"/>
      <c r="C276" s="197"/>
      <c r="D276" s="173" t="s">
        <v>55</v>
      </c>
      <c r="E276" s="198" t="s">
        <v>1174</v>
      </c>
      <c r="F276" s="172">
        <v>125</v>
      </c>
      <c r="G276" s="173">
        <v>108</v>
      </c>
      <c r="H276" s="175">
        <v>49</v>
      </c>
      <c r="I276" s="38" t="s">
        <v>5542</v>
      </c>
      <c r="J276" s="199">
        <f>J275</f>
        <v>8501</v>
      </c>
    </row>
    <row r="277" spans="1:10" x14ac:dyDescent="0.25">
      <c r="A277" s="196"/>
      <c r="B277" s="196"/>
      <c r="C277" s="197"/>
      <c r="D277" s="173" t="s">
        <v>241</v>
      </c>
      <c r="E277" s="198" t="s">
        <v>1178</v>
      </c>
      <c r="F277" s="172">
        <v>150</v>
      </c>
      <c r="G277" s="173">
        <v>153</v>
      </c>
      <c r="H277" s="175">
        <v>69</v>
      </c>
      <c r="I277" s="38" t="s">
        <v>1876</v>
      </c>
      <c r="J277" s="34">
        <f>IFERROR(_xlfn.XLOOKUP(I277,Index!$A:$A,Index!$B:$B),"")</f>
        <v>9985</v>
      </c>
    </row>
    <row r="278" spans="1:10" x14ac:dyDescent="0.25">
      <c r="A278" s="196"/>
      <c r="B278" s="196"/>
      <c r="C278" s="197"/>
      <c r="D278" s="173" t="s">
        <v>53</v>
      </c>
      <c r="E278" s="198" t="s">
        <v>1178</v>
      </c>
      <c r="F278" s="172">
        <v>150</v>
      </c>
      <c r="G278" s="173">
        <v>153</v>
      </c>
      <c r="H278" s="175">
        <v>69</v>
      </c>
      <c r="I278" s="38" t="s">
        <v>5542</v>
      </c>
      <c r="J278" s="199">
        <f>J277+392</f>
        <v>10377</v>
      </c>
    </row>
    <row r="279" spans="1:10" x14ac:dyDescent="0.25">
      <c r="A279" s="196"/>
      <c r="B279" s="196"/>
      <c r="C279" s="197"/>
      <c r="D279" s="173" t="s">
        <v>55</v>
      </c>
      <c r="E279" s="198" t="s">
        <v>1178</v>
      </c>
      <c r="F279" s="172">
        <v>150</v>
      </c>
      <c r="G279" s="173">
        <v>153</v>
      </c>
      <c r="H279" s="175">
        <v>69</v>
      </c>
      <c r="I279" s="38" t="s">
        <v>5542</v>
      </c>
      <c r="J279" s="199">
        <f>J278</f>
        <v>10377</v>
      </c>
    </row>
    <row r="280" spans="1:10" x14ac:dyDescent="0.25">
      <c r="A280" s="196"/>
      <c r="B280" s="196"/>
      <c r="C280" s="197"/>
      <c r="D280" s="173" t="s">
        <v>241</v>
      </c>
      <c r="E280" s="198" t="s">
        <v>1182</v>
      </c>
      <c r="F280" s="172">
        <v>200</v>
      </c>
      <c r="G280" s="173">
        <v>239</v>
      </c>
      <c r="H280" s="175">
        <v>108</v>
      </c>
      <c r="I280" s="38" t="s">
        <v>1877</v>
      </c>
      <c r="J280" s="34">
        <f>IFERROR(_xlfn.XLOOKUP(I280,Index!$A:$A,Index!$B:$B),"")</f>
        <v>13877</v>
      </c>
    </row>
    <row r="281" spans="1:10" x14ac:dyDescent="0.25">
      <c r="A281" s="196"/>
      <c r="B281" s="196"/>
      <c r="C281" s="197"/>
      <c r="D281" s="173" t="s">
        <v>53</v>
      </c>
      <c r="E281" s="198" t="s">
        <v>1182</v>
      </c>
      <c r="F281" s="172">
        <v>200</v>
      </c>
      <c r="G281" s="173">
        <v>239</v>
      </c>
      <c r="H281" s="175">
        <v>108</v>
      </c>
      <c r="I281" s="38" t="s">
        <v>5542</v>
      </c>
      <c r="J281" s="199">
        <f>J280+544</f>
        <v>14421</v>
      </c>
    </row>
    <row r="282" spans="1:10" x14ac:dyDescent="0.25">
      <c r="A282" s="196"/>
      <c r="B282" s="196"/>
      <c r="C282" s="197"/>
      <c r="D282" s="173" t="s">
        <v>55</v>
      </c>
      <c r="E282" s="198" t="s">
        <v>1182</v>
      </c>
      <c r="F282" s="172">
        <v>200</v>
      </c>
      <c r="G282" s="173">
        <v>239</v>
      </c>
      <c r="H282" s="175">
        <v>108</v>
      </c>
      <c r="I282" s="38" t="s">
        <v>5542</v>
      </c>
      <c r="J282" s="199">
        <f>J281</f>
        <v>14421</v>
      </c>
    </row>
    <row r="283" spans="1:10" x14ac:dyDescent="0.25">
      <c r="A283" s="196"/>
      <c r="B283" s="196"/>
      <c r="C283" s="197"/>
      <c r="D283" s="173" t="s">
        <v>241</v>
      </c>
      <c r="E283" s="198" t="s">
        <v>1186</v>
      </c>
      <c r="F283" s="172">
        <v>250</v>
      </c>
      <c r="G283" s="173">
        <v>402</v>
      </c>
      <c r="H283" s="175">
        <v>182</v>
      </c>
      <c r="I283" s="175" t="s">
        <v>1878</v>
      </c>
      <c r="J283" s="34">
        <f>IFERROR(_xlfn.XLOOKUP(I283,Index!$A:$A,Index!$B:$B),"")</f>
        <v>24822</v>
      </c>
    </row>
    <row r="284" spans="1:10" x14ac:dyDescent="0.25">
      <c r="A284" s="196"/>
      <c r="B284" s="196"/>
      <c r="C284" s="197"/>
      <c r="D284" s="173" t="s">
        <v>53</v>
      </c>
      <c r="E284" s="198" t="s">
        <v>1186</v>
      </c>
      <c r="F284" s="172">
        <v>250</v>
      </c>
      <c r="G284" s="173">
        <v>402</v>
      </c>
      <c r="H284" s="175">
        <v>182</v>
      </c>
      <c r="I284" s="38" t="s">
        <v>5542</v>
      </c>
      <c r="J284" s="199">
        <f>J283+974</f>
        <v>25796</v>
      </c>
    </row>
    <row r="285" spans="1:10" x14ac:dyDescent="0.25">
      <c r="A285" s="212"/>
      <c r="B285" s="212"/>
      <c r="C285" s="219"/>
      <c r="D285" s="173" t="s">
        <v>55</v>
      </c>
      <c r="E285" s="198" t="s">
        <v>1186</v>
      </c>
      <c r="F285" s="172">
        <v>250</v>
      </c>
      <c r="G285" s="173">
        <v>402</v>
      </c>
      <c r="H285" s="175">
        <v>182</v>
      </c>
      <c r="I285" s="38" t="s">
        <v>5542</v>
      </c>
      <c r="J285" s="199">
        <f>J284</f>
        <v>25796</v>
      </c>
    </row>
    <row r="286" spans="1:10" x14ac:dyDescent="0.25">
      <c r="A286" s="214" t="s">
        <v>1394</v>
      </c>
    </row>
    <row r="288" spans="1:10" ht="15.75" x14ac:dyDescent="0.25">
      <c r="A288" s="217" t="s">
        <v>1860</v>
      </c>
      <c r="B288" s="47" t="s">
        <v>647</v>
      </c>
      <c r="C288" s="276"/>
      <c r="D288" s="201"/>
      <c r="E288" s="202"/>
      <c r="F288" s="203"/>
    </row>
    <row r="289" spans="1:6" x14ac:dyDescent="0.25">
      <c r="A289" s="191" t="s">
        <v>102</v>
      </c>
      <c r="B289" s="200"/>
      <c r="C289" s="204"/>
      <c r="D289" s="204"/>
      <c r="E289" s="205"/>
      <c r="F289" s="203"/>
    </row>
    <row r="290" spans="1:6" ht="24" x14ac:dyDescent="0.25">
      <c r="A290" s="192" t="s">
        <v>35</v>
      </c>
      <c r="B290" s="193" t="s">
        <v>103</v>
      </c>
      <c r="C290" s="340" t="s">
        <v>38</v>
      </c>
      <c r="D290" s="340"/>
      <c r="E290" s="163" t="s">
        <v>40</v>
      </c>
      <c r="F290" s="206" t="s">
        <v>41</v>
      </c>
    </row>
    <row r="291" spans="1:6" x14ac:dyDescent="0.25">
      <c r="A291" s="195"/>
      <c r="B291" s="195"/>
      <c r="C291" s="166" t="s">
        <v>44</v>
      </c>
      <c r="D291" s="166" t="s">
        <v>45</v>
      </c>
      <c r="E291" s="166"/>
      <c r="F291" s="207"/>
    </row>
    <row r="292" spans="1:6" x14ac:dyDescent="0.25">
      <c r="A292" s="169" t="s">
        <v>1861</v>
      </c>
      <c r="B292" s="169" t="s">
        <v>104</v>
      </c>
      <c r="C292" s="208">
        <v>1.5</v>
      </c>
      <c r="D292" s="175">
        <v>40</v>
      </c>
      <c r="E292" s="173" t="s">
        <v>1732</v>
      </c>
      <c r="F292" s="34">
        <f>IFERROR(_xlfn.XLOOKUP(E292,Index!$A:$A,Index!$B:$B),"")</f>
        <v>9</v>
      </c>
    </row>
    <row r="293" spans="1:6" x14ac:dyDescent="0.25">
      <c r="A293" s="196"/>
      <c r="B293" s="196"/>
      <c r="C293" s="171">
        <v>2</v>
      </c>
      <c r="D293" s="209">
        <v>50</v>
      </c>
      <c r="E293" s="173" t="s">
        <v>1596</v>
      </c>
      <c r="F293" s="34">
        <f>IFERROR(_xlfn.XLOOKUP(E293,Index!$A:$A,Index!$B:$B),"")</f>
        <v>9</v>
      </c>
    </row>
    <row r="294" spans="1:6" x14ac:dyDescent="0.25">
      <c r="A294" s="196"/>
      <c r="B294" s="196"/>
      <c r="C294" s="171">
        <v>2.5</v>
      </c>
      <c r="D294" s="209">
        <v>65</v>
      </c>
      <c r="E294" s="173" t="s">
        <v>420</v>
      </c>
      <c r="F294" s="34">
        <f>IFERROR(_xlfn.XLOOKUP(E294,Index!$A:$A,Index!$B:$B),"")</f>
        <v>12.25</v>
      </c>
    </row>
    <row r="295" spans="1:6" x14ac:dyDescent="0.25">
      <c r="A295" s="196"/>
      <c r="B295" s="196"/>
      <c r="C295" s="171">
        <v>3</v>
      </c>
      <c r="D295" s="209">
        <v>80</v>
      </c>
      <c r="E295" s="173" t="s">
        <v>1597</v>
      </c>
      <c r="F295" s="34">
        <f>IFERROR(_xlfn.XLOOKUP(E295,Index!$A:$A,Index!$B:$B),"")</f>
        <v>12.5</v>
      </c>
    </row>
    <row r="296" spans="1:6" x14ac:dyDescent="0.25">
      <c r="A296" s="196"/>
      <c r="B296" s="196"/>
      <c r="C296" s="171">
        <v>4</v>
      </c>
      <c r="D296" s="209">
        <v>100</v>
      </c>
      <c r="E296" s="173" t="s">
        <v>1598</v>
      </c>
      <c r="F296" s="34">
        <f>IFERROR(_xlfn.XLOOKUP(E296,Index!$A:$A,Index!$B:$B),"")</f>
        <v>15</v>
      </c>
    </row>
    <row r="297" spans="1:6" x14ac:dyDescent="0.25">
      <c r="A297" s="196"/>
      <c r="B297" s="196"/>
      <c r="C297" s="171">
        <v>5</v>
      </c>
      <c r="D297" s="209">
        <v>125</v>
      </c>
      <c r="E297" s="173" t="s">
        <v>1599</v>
      </c>
      <c r="F297" s="34">
        <f>IFERROR(_xlfn.XLOOKUP(E297,Index!$A:$A,Index!$B:$B),"")</f>
        <v>18.75</v>
      </c>
    </row>
    <row r="298" spans="1:6" x14ac:dyDescent="0.25">
      <c r="A298" s="196"/>
      <c r="B298" s="196"/>
      <c r="C298" s="171">
        <v>6</v>
      </c>
      <c r="D298" s="209">
        <v>150</v>
      </c>
      <c r="E298" s="173" t="s">
        <v>1600</v>
      </c>
      <c r="F298" s="34">
        <f>IFERROR(_xlfn.XLOOKUP(E298,Index!$A:$A,Index!$B:$B),"")</f>
        <v>18.75</v>
      </c>
    </row>
    <row r="299" spans="1:6" x14ac:dyDescent="0.25">
      <c r="A299" s="196"/>
      <c r="B299" s="196"/>
      <c r="C299" s="171">
        <v>8</v>
      </c>
      <c r="D299" s="209">
        <v>200</v>
      </c>
      <c r="E299" s="173" t="s">
        <v>1601</v>
      </c>
      <c r="F299" s="34">
        <f>IFERROR(_xlfn.XLOOKUP(E299,Index!$A:$A,Index!$B:$B),"")</f>
        <v>18.75</v>
      </c>
    </row>
    <row r="300" spans="1:6" x14ac:dyDescent="0.25">
      <c r="A300" s="196"/>
      <c r="B300" s="196"/>
      <c r="C300" s="171">
        <v>10</v>
      </c>
      <c r="D300" s="209">
        <v>250</v>
      </c>
      <c r="E300" s="173" t="s">
        <v>1602</v>
      </c>
      <c r="F300" s="34">
        <f>IFERROR(_xlfn.XLOOKUP(E300,Index!$A:$A,Index!$B:$B),"")</f>
        <v>26.75</v>
      </c>
    </row>
    <row r="301" spans="1:6" x14ac:dyDescent="0.25">
      <c r="A301" s="196"/>
      <c r="B301" s="169" t="s">
        <v>210</v>
      </c>
      <c r="C301" s="208">
        <v>1.5</v>
      </c>
      <c r="D301" s="175">
        <v>40</v>
      </c>
      <c r="E301" s="173" t="s">
        <v>1733</v>
      </c>
      <c r="F301" s="34">
        <f>IFERROR(_xlfn.XLOOKUP(E301,Index!$A:$A,Index!$B:$B),"")</f>
        <v>457.5</v>
      </c>
    </row>
    <row r="302" spans="1:6" x14ac:dyDescent="0.25">
      <c r="A302" s="196"/>
      <c r="B302" s="196"/>
      <c r="C302" s="171">
        <v>2</v>
      </c>
      <c r="D302" s="209">
        <v>50</v>
      </c>
      <c r="E302" s="173" t="s">
        <v>1734</v>
      </c>
      <c r="F302" s="34">
        <f>IFERROR(_xlfn.XLOOKUP(E302,Index!$A:$A,Index!$B:$B),"")</f>
        <v>457.5</v>
      </c>
    </row>
    <row r="303" spans="1:6" x14ac:dyDescent="0.25">
      <c r="A303" s="196"/>
      <c r="B303" s="196"/>
      <c r="C303" s="171">
        <v>2.5</v>
      </c>
      <c r="D303" s="209">
        <v>65</v>
      </c>
      <c r="E303" s="173" t="s">
        <v>1735</v>
      </c>
      <c r="F303" s="34">
        <f>IFERROR(_xlfn.XLOOKUP(E303,Index!$A:$A,Index!$B:$B),"")</f>
        <v>582</v>
      </c>
    </row>
    <row r="304" spans="1:6" x14ac:dyDescent="0.25">
      <c r="A304" s="196"/>
      <c r="B304" s="196"/>
      <c r="C304" s="171">
        <v>3</v>
      </c>
      <c r="D304" s="209">
        <v>80</v>
      </c>
      <c r="E304" s="173" t="s">
        <v>1736</v>
      </c>
      <c r="F304" s="34">
        <f>IFERROR(_xlfn.XLOOKUP(E304,Index!$A:$A,Index!$B:$B),"")</f>
        <v>582</v>
      </c>
    </row>
    <row r="305" spans="1:6" x14ac:dyDescent="0.25">
      <c r="A305" s="196"/>
      <c r="B305" s="196"/>
      <c r="C305" s="171">
        <v>4</v>
      </c>
      <c r="D305" s="209">
        <v>100</v>
      </c>
      <c r="E305" s="173" t="s">
        <v>1737</v>
      </c>
      <c r="F305" s="34">
        <f>IFERROR(_xlfn.XLOOKUP(E305,Index!$A:$A,Index!$B:$B),"")</f>
        <v>747.5</v>
      </c>
    </row>
    <row r="306" spans="1:6" x14ac:dyDescent="0.25">
      <c r="A306" s="210"/>
      <c r="B306" s="169" t="s">
        <v>648</v>
      </c>
      <c r="C306" s="211">
        <v>5</v>
      </c>
      <c r="D306" s="209">
        <v>125</v>
      </c>
      <c r="E306" s="173" t="s">
        <v>1738</v>
      </c>
      <c r="F306" s="34">
        <f>IFERROR(_xlfn.XLOOKUP(E306,Index!$A:$A,Index!$B:$B),"")</f>
        <v>1662</v>
      </c>
    </row>
    <row r="307" spans="1:6" x14ac:dyDescent="0.25">
      <c r="A307" s="210"/>
      <c r="B307" s="196"/>
      <c r="C307" s="171">
        <v>6</v>
      </c>
      <c r="D307" s="209">
        <v>150</v>
      </c>
      <c r="E307" s="173" t="s">
        <v>1739</v>
      </c>
      <c r="F307" s="34">
        <f>IFERROR(_xlfn.XLOOKUP(E307,Index!$A:$A,Index!$B:$B),"")</f>
        <v>1953</v>
      </c>
    </row>
    <row r="308" spans="1:6" x14ac:dyDescent="0.25">
      <c r="A308" s="210"/>
      <c r="B308" s="196"/>
      <c r="C308" s="171">
        <v>8</v>
      </c>
      <c r="D308" s="209">
        <v>200</v>
      </c>
      <c r="E308" s="173" t="s">
        <v>1740</v>
      </c>
      <c r="F308" s="34">
        <f>IFERROR(_xlfn.XLOOKUP(E308,Index!$A:$A,Index!$B:$B),"")</f>
        <v>2325</v>
      </c>
    </row>
    <row r="309" spans="1:6" x14ac:dyDescent="0.25">
      <c r="A309" s="196"/>
      <c r="B309" s="196"/>
      <c r="C309" s="171">
        <v>10</v>
      </c>
      <c r="D309" s="209">
        <v>250</v>
      </c>
      <c r="E309" s="173" t="s">
        <v>1741</v>
      </c>
      <c r="F309" s="34">
        <f>IFERROR(_xlfn.XLOOKUP(E309,Index!$A:$A,Index!$B:$B),"")</f>
        <v>2658</v>
      </c>
    </row>
    <row r="310" spans="1:6" x14ac:dyDescent="0.25">
      <c r="A310" s="196"/>
      <c r="B310" s="169" t="s">
        <v>122</v>
      </c>
      <c r="C310" s="208">
        <v>1.5</v>
      </c>
      <c r="D310" s="175">
        <v>40</v>
      </c>
      <c r="E310" s="173" t="s">
        <v>1743</v>
      </c>
      <c r="F310" s="34">
        <f>IFERROR(_xlfn.XLOOKUP(E310,Index!$A:$A,Index!$B:$B),"")</f>
        <v>541</v>
      </c>
    </row>
    <row r="311" spans="1:6" x14ac:dyDescent="0.25">
      <c r="A311" s="196"/>
      <c r="B311" s="196"/>
      <c r="C311" s="171">
        <v>2</v>
      </c>
      <c r="D311" s="209">
        <v>50</v>
      </c>
      <c r="E311" s="173" t="s">
        <v>1744</v>
      </c>
      <c r="F311" s="34">
        <f>IFERROR(_xlfn.XLOOKUP(E311,Index!$A:$A,Index!$B:$B),"")</f>
        <v>541</v>
      </c>
    </row>
    <row r="312" spans="1:6" x14ac:dyDescent="0.25">
      <c r="A312" s="196"/>
      <c r="B312" s="196"/>
      <c r="C312" s="171">
        <v>2.5</v>
      </c>
      <c r="D312" s="209">
        <v>65</v>
      </c>
      <c r="E312" s="38" t="s">
        <v>5542</v>
      </c>
      <c r="F312" s="250">
        <f>F313</f>
        <v>996.5</v>
      </c>
    </row>
    <row r="313" spans="1:6" x14ac:dyDescent="0.25">
      <c r="A313" s="196"/>
      <c r="B313" s="196"/>
      <c r="C313" s="171">
        <v>3</v>
      </c>
      <c r="D313" s="209">
        <v>80</v>
      </c>
      <c r="E313" s="173" t="s">
        <v>1745</v>
      </c>
      <c r="F313" s="34">
        <f>IFERROR(_xlfn.XLOOKUP(E313,Index!$A:$A,Index!$B:$B),"")</f>
        <v>996.5</v>
      </c>
    </row>
    <row r="314" spans="1:6" x14ac:dyDescent="0.25">
      <c r="A314" s="196"/>
      <c r="B314" s="196"/>
      <c r="C314" s="171">
        <v>4</v>
      </c>
      <c r="D314" s="209">
        <v>100</v>
      </c>
      <c r="E314" s="173" t="s">
        <v>1746</v>
      </c>
      <c r="F314" s="34">
        <f>IFERROR(_xlfn.XLOOKUP(E314,Index!$A:$A,Index!$B:$B),"")</f>
        <v>1080</v>
      </c>
    </row>
    <row r="315" spans="1:6" x14ac:dyDescent="0.25">
      <c r="A315" s="196"/>
      <c r="B315" s="196"/>
      <c r="C315" s="171">
        <v>5</v>
      </c>
      <c r="D315" s="209">
        <v>125</v>
      </c>
      <c r="E315" s="38" t="s">
        <v>5542</v>
      </c>
      <c r="F315" s="250">
        <f>F316-100</f>
        <v>2558</v>
      </c>
    </row>
    <row r="316" spans="1:6" x14ac:dyDescent="0.25">
      <c r="A316" s="196"/>
      <c r="B316" s="196"/>
      <c r="C316" s="171">
        <v>6</v>
      </c>
      <c r="D316" s="209">
        <v>150</v>
      </c>
      <c r="E316" s="173" t="s">
        <v>1747</v>
      </c>
      <c r="F316" s="34">
        <f>IFERROR(_xlfn.XLOOKUP(E316,Index!$A:$A,Index!$B:$B),"")</f>
        <v>2658</v>
      </c>
    </row>
    <row r="317" spans="1:6" x14ac:dyDescent="0.25">
      <c r="A317" s="196"/>
      <c r="B317" s="196"/>
      <c r="C317" s="171">
        <v>8</v>
      </c>
      <c r="D317" s="209">
        <v>200</v>
      </c>
      <c r="E317" s="173" t="s">
        <v>1748</v>
      </c>
      <c r="F317" s="34">
        <f>IFERROR(_xlfn.XLOOKUP(E317,Index!$A:$A,Index!$B:$B),"")</f>
        <v>2908</v>
      </c>
    </row>
    <row r="318" spans="1:6" x14ac:dyDescent="0.25">
      <c r="A318" s="196"/>
      <c r="B318" s="196"/>
      <c r="C318" s="171">
        <v>10</v>
      </c>
      <c r="D318" s="209">
        <v>250</v>
      </c>
      <c r="E318" s="173" t="s">
        <v>1749</v>
      </c>
      <c r="F318" s="34">
        <f>IFERROR(_xlfn.XLOOKUP(E318,Index!$A:$A,Index!$B:$B),"")</f>
        <v>3239</v>
      </c>
    </row>
    <row r="319" spans="1:6" x14ac:dyDescent="0.25">
      <c r="A319" s="196"/>
      <c r="B319" s="169" t="s">
        <v>134</v>
      </c>
      <c r="C319" s="208">
        <v>1.5</v>
      </c>
      <c r="D319" s="175">
        <v>40</v>
      </c>
      <c r="E319" s="38" t="s">
        <v>5542</v>
      </c>
      <c r="F319" s="250">
        <f>F320</f>
        <v>541</v>
      </c>
    </row>
    <row r="320" spans="1:6" x14ac:dyDescent="0.25">
      <c r="A320" s="196"/>
      <c r="B320" s="196"/>
      <c r="C320" s="171">
        <v>2</v>
      </c>
      <c r="D320" s="209">
        <v>50</v>
      </c>
      <c r="E320" s="35" t="s">
        <v>1751</v>
      </c>
      <c r="F320" s="34">
        <f>IFERROR(_xlfn.XLOOKUP(E320,Index!$A:$A,Index!$B:$B),"")</f>
        <v>541</v>
      </c>
    </row>
    <row r="321" spans="1:6" x14ac:dyDescent="0.25">
      <c r="A321" s="196"/>
      <c r="B321" s="196"/>
      <c r="C321" s="171">
        <v>2.5</v>
      </c>
      <c r="D321" s="209">
        <v>65</v>
      </c>
      <c r="E321" s="38" t="s">
        <v>5542</v>
      </c>
      <c r="F321" s="250">
        <f>F322</f>
        <v>996.5</v>
      </c>
    </row>
    <row r="322" spans="1:6" x14ac:dyDescent="0.25">
      <c r="A322" s="196"/>
      <c r="B322" s="196"/>
      <c r="C322" s="171">
        <v>3</v>
      </c>
      <c r="D322" s="209">
        <v>80</v>
      </c>
      <c r="E322" s="35" t="s">
        <v>1752</v>
      </c>
      <c r="F322" s="34">
        <f>IFERROR(_xlfn.XLOOKUP(E322,Index!$A:$A,Index!$B:$B),"")</f>
        <v>996.5</v>
      </c>
    </row>
    <row r="323" spans="1:6" x14ac:dyDescent="0.25">
      <c r="A323" s="196"/>
      <c r="B323" s="196"/>
      <c r="C323" s="171">
        <v>4</v>
      </c>
      <c r="D323" s="209">
        <v>100</v>
      </c>
      <c r="E323" s="38" t="s">
        <v>5542</v>
      </c>
      <c r="F323" s="250">
        <f>F314</f>
        <v>1080</v>
      </c>
    </row>
    <row r="324" spans="1:6" x14ac:dyDescent="0.25">
      <c r="A324" s="196"/>
      <c r="B324" s="196"/>
      <c r="C324" s="171">
        <v>5</v>
      </c>
      <c r="D324" s="209">
        <v>125</v>
      </c>
      <c r="E324" s="38" t="s">
        <v>5542</v>
      </c>
      <c r="F324" s="250">
        <f>F315</f>
        <v>2558</v>
      </c>
    </row>
    <row r="325" spans="1:6" x14ac:dyDescent="0.25">
      <c r="A325" s="196"/>
      <c r="B325" s="196"/>
      <c r="C325" s="171">
        <v>6</v>
      </c>
      <c r="D325" s="209">
        <v>150</v>
      </c>
      <c r="E325" s="35" t="s">
        <v>1753</v>
      </c>
      <c r="F325" s="34">
        <f>IFERROR(_xlfn.XLOOKUP(E325,Index!$A:$A,Index!$B:$B),"")</f>
        <v>2658</v>
      </c>
    </row>
    <row r="326" spans="1:6" x14ac:dyDescent="0.25">
      <c r="A326" s="196"/>
      <c r="B326" s="196"/>
      <c r="C326" s="171">
        <v>8</v>
      </c>
      <c r="D326" s="209">
        <v>200</v>
      </c>
      <c r="E326" s="35" t="s">
        <v>1754</v>
      </c>
      <c r="F326" s="34">
        <f>IFERROR(_xlfn.XLOOKUP(E326,Index!$A:$A,Index!$B:$B),"")</f>
        <v>2908</v>
      </c>
    </row>
    <row r="327" spans="1:6" x14ac:dyDescent="0.25">
      <c r="A327" s="196"/>
      <c r="B327" s="196"/>
      <c r="C327" s="171">
        <v>10</v>
      </c>
      <c r="D327" s="209">
        <v>250</v>
      </c>
      <c r="E327" s="35" t="s">
        <v>1755</v>
      </c>
      <c r="F327" s="34">
        <f>IFERROR(_xlfn.XLOOKUP(E327,Index!$A:$A,Index!$B:$B),"")</f>
        <v>3239</v>
      </c>
    </row>
    <row r="328" spans="1:6" x14ac:dyDescent="0.25">
      <c r="A328" s="196"/>
      <c r="B328" s="169" t="s">
        <v>145</v>
      </c>
      <c r="C328" s="208">
        <v>1.5</v>
      </c>
      <c r="D328" s="175">
        <v>40</v>
      </c>
      <c r="E328" s="38" t="s">
        <v>5542</v>
      </c>
      <c r="F328" s="250">
        <f>F329</f>
        <v>541</v>
      </c>
    </row>
    <row r="329" spans="1:6" x14ac:dyDescent="0.25">
      <c r="A329" s="196"/>
      <c r="B329" s="196"/>
      <c r="C329" s="171">
        <v>2</v>
      </c>
      <c r="D329" s="209">
        <v>50</v>
      </c>
      <c r="E329" s="35" t="s">
        <v>1757</v>
      </c>
      <c r="F329" s="34">
        <f>IFERROR(_xlfn.XLOOKUP(E329,Index!$A:$A,Index!$B:$B),"")</f>
        <v>541</v>
      </c>
    </row>
    <row r="330" spans="1:6" x14ac:dyDescent="0.25">
      <c r="A330" s="196"/>
      <c r="B330" s="196"/>
      <c r="C330" s="171">
        <v>2.5</v>
      </c>
      <c r="D330" s="209">
        <v>65</v>
      </c>
      <c r="E330" s="38" t="s">
        <v>5542</v>
      </c>
      <c r="F330" s="250">
        <f>F331</f>
        <v>996.5</v>
      </c>
    </row>
    <row r="331" spans="1:6" x14ac:dyDescent="0.25">
      <c r="A331" s="196"/>
      <c r="B331" s="196"/>
      <c r="C331" s="171">
        <v>3</v>
      </c>
      <c r="D331" s="209">
        <v>80</v>
      </c>
      <c r="E331" s="35" t="s">
        <v>1758</v>
      </c>
      <c r="F331" s="34">
        <f>IFERROR(_xlfn.XLOOKUP(E331,Index!$A:$A,Index!$B:$B),"")</f>
        <v>996.5</v>
      </c>
    </row>
    <row r="332" spans="1:6" x14ac:dyDescent="0.25">
      <c r="A332" s="196"/>
      <c r="B332" s="196"/>
      <c r="C332" s="171">
        <v>4</v>
      </c>
      <c r="D332" s="209">
        <v>100</v>
      </c>
      <c r="E332" s="35" t="s">
        <v>1759</v>
      </c>
      <c r="F332" s="34">
        <f>IFERROR(_xlfn.XLOOKUP(E332,Index!$A:$A,Index!$B:$B),"")</f>
        <v>1080</v>
      </c>
    </row>
    <row r="333" spans="1:6" x14ac:dyDescent="0.25">
      <c r="A333" s="196"/>
      <c r="B333" s="196"/>
      <c r="C333" s="171">
        <v>5</v>
      </c>
      <c r="D333" s="209">
        <v>125</v>
      </c>
      <c r="E333" s="38" t="s">
        <v>5542</v>
      </c>
      <c r="F333" s="250">
        <f>F324</f>
        <v>2558</v>
      </c>
    </row>
    <row r="334" spans="1:6" x14ac:dyDescent="0.25">
      <c r="A334" s="196"/>
      <c r="B334" s="196"/>
      <c r="C334" s="171">
        <v>6</v>
      </c>
      <c r="D334" s="209">
        <v>150</v>
      </c>
      <c r="E334" s="35" t="s">
        <v>1760</v>
      </c>
      <c r="F334" s="34">
        <f>IFERROR(_xlfn.XLOOKUP(E334,Index!$A:$A,Index!$B:$B),"")</f>
        <v>2658</v>
      </c>
    </row>
    <row r="335" spans="1:6" x14ac:dyDescent="0.25">
      <c r="A335" s="196"/>
      <c r="B335" s="196"/>
      <c r="C335" s="171">
        <v>8</v>
      </c>
      <c r="D335" s="209">
        <v>200</v>
      </c>
      <c r="E335" s="35" t="s">
        <v>1761</v>
      </c>
      <c r="F335" s="34">
        <f>IFERROR(_xlfn.XLOOKUP(E335,Index!$A:$A,Index!$B:$B),"")</f>
        <v>2908</v>
      </c>
    </row>
    <row r="336" spans="1:6" x14ac:dyDescent="0.25">
      <c r="A336" s="196"/>
      <c r="B336" s="196"/>
      <c r="C336" s="171">
        <v>10</v>
      </c>
      <c r="D336" s="209">
        <v>250</v>
      </c>
      <c r="E336" s="38" t="s">
        <v>5542</v>
      </c>
      <c r="F336" s="250">
        <f>F327</f>
        <v>3239</v>
      </c>
    </row>
    <row r="337" spans="1:13" x14ac:dyDescent="0.25">
      <c r="A337" s="196"/>
      <c r="B337" s="169" t="s">
        <v>155</v>
      </c>
      <c r="C337" s="208">
        <v>1.5</v>
      </c>
      <c r="D337" s="175">
        <v>40</v>
      </c>
      <c r="E337" s="35" t="s">
        <v>1762</v>
      </c>
      <c r="F337" s="34">
        <f>IFERROR(_xlfn.XLOOKUP(E337,Index!$A:$A,Index!$B:$B),"")</f>
        <v>541</v>
      </c>
    </row>
    <row r="338" spans="1:13" x14ac:dyDescent="0.25">
      <c r="A338" s="196"/>
      <c r="B338" s="196"/>
      <c r="C338" s="171">
        <v>2</v>
      </c>
      <c r="D338" s="209">
        <v>50</v>
      </c>
      <c r="E338" s="35" t="s">
        <v>1763</v>
      </c>
      <c r="F338" s="34">
        <f>IFERROR(_xlfn.XLOOKUP(E338,Index!$A:$A,Index!$B:$B),"")</f>
        <v>541</v>
      </c>
    </row>
    <row r="339" spans="1:13" x14ac:dyDescent="0.25">
      <c r="A339" s="196"/>
      <c r="B339" s="196"/>
      <c r="C339" s="171">
        <v>2.5</v>
      </c>
      <c r="D339" s="209">
        <v>65</v>
      </c>
      <c r="E339" s="35" t="s">
        <v>1764</v>
      </c>
      <c r="F339" s="34">
        <f>IFERROR(_xlfn.XLOOKUP(E339,Index!$A:$A,Index!$B:$B),"")</f>
        <v>996.5</v>
      </c>
    </row>
    <row r="340" spans="1:13" x14ac:dyDescent="0.25">
      <c r="A340" s="196"/>
      <c r="B340" s="196"/>
      <c r="C340" s="171">
        <v>3</v>
      </c>
      <c r="D340" s="209">
        <v>80</v>
      </c>
      <c r="E340" s="35" t="s">
        <v>1765</v>
      </c>
      <c r="F340" s="34">
        <f>IFERROR(_xlfn.XLOOKUP(E340,Index!$A:$A,Index!$B:$B),"")</f>
        <v>996.5</v>
      </c>
    </row>
    <row r="341" spans="1:13" x14ac:dyDescent="0.25">
      <c r="A341" s="196"/>
      <c r="B341" s="196"/>
      <c r="C341" s="171">
        <v>4</v>
      </c>
      <c r="D341" s="209">
        <v>100</v>
      </c>
      <c r="E341" s="38" t="s">
        <v>5542</v>
      </c>
      <c r="F341" s="250">
        <f>F332</f>
        <v>1080</v>
      </c>
    </row>
    <row r="342" spans="1:13" x14ac:dyDescent="0.25">
      <c r="A342" s="196"/>
      <c r="B342" s="196"/>
      <c r="C342" s="171">
        <v>5</v>
      </c>
      <c r="D342" s="209">
        <v>125</v>
      </c>
      <c r="E342" s="38" t="s">
        <v>5542</v>
      </c>
      <c r="F342" s="250">
        <f>F333</f>
        <v>2558</v>
      </c>
    </row>
    <row r="343" spans="1:13" x14ac:dyDescent="0.25">
      <c r="A343" s="196"/>
      <c r="B343" s="196"/>
      <c r="C343" s="171">
        <v>6</v>
      </c>
      <c r="D343" s="209">
        <v>150</v>
      </c>
      <c r="E343" s="35" t="s">
        <v>1766</v>
      </c>
      <c r="F343" s="34">
        <f>IFERROR(_xlfn.XLOOKUP(E343,Index!$A:$A,Index!$B:$B),"")</f>
        <v>2658</v>
      </c>
    </row>
    <row r="344" spans="1:13" x14ac:dyDescent="0.25">
      <c r="A344" s="196"/>
      <c r="B344" s="196"/>
      <c r="C344" s="171">
        <v>8</v>
      </c>
      <c r="D344" s="209">
        <v>200</v>
      </c>
      <c r="E344" s="35" t="s">
        <v>1767</v>
      </c>
      <c r="F344" s="34">
        <f>IFERROR(_xlfn.XLOOKUP(E344,Index!$A:$A,Index!$B:$B),"")</f>
        <v>2908</v>
      </c>
    </row>
    <row r="345" spans="1:13" x14ac:dyDescent="0.25">
      <c r="A345" s="212"/>
      <c r="B345" s="212"/>
      <c r="C345" s="171">
        <v>10</v>
      </c>
      <c r="D345" s="209">
        <v>250</v>
      </c>
      <c r="E345" s="38" t="s">
        <v>5542</v>
      </c>
      <c r="F345" s="250">
        <f>F336</f>
        <v>3239</v>
      </c>
    </row>
    <row r="347" spans="1:13" x14ac:dyDescent="0.25">
      <c r="L347" s="80"/>
      <c r="M347" s="19"/>
    </row>
    <row r="348" spans="1:13" x14ac:dyDescent="0.25">
      <c r="L348" s="80"/>
      <c r="M348" s="19"/>
    </row>
    <row r="349" spans="1:13" x14ac:dyDescent="0.25">
      <c r="L349" s="80"/>
      <c r="M349" s="19"/>
    </row>
    <row r="350" spans="1:13" x14ac:dyDescent="0.25">
      <c r="L350" s="80"/>
      <c r="M350" s="19"/>
    </row>
    <row r="351" spans="1:13" x14ac:dyDescent="0.25">
      <c r="L351" s="80"/>
      <c r="M351" s="19"/>
    </row>
    <row r="352" spans="1:13" x14ac:dyDescent="0.25">
      <c r="L352" s="80"/>
      <c r="M352" s="19"/>
    </row>
  </sheetData>
  <mergeCells count="12">
    <mergeCell ref="C34:D34"/>
    <mergeCell ref="C146:D146"/>
    <mergeCell ref="C290:D290"/>
    <mergeCell ref="G4:H4"/>
    <mergeCell ref="E4:F4"/>
    <mergeCell ref="C4:D4"/>
    <mergeCell ref="G104:H104"/>
    <mergeCell ref="E104:F104"/>
    <mergeCell ref="C104:D104"/>
    <mergeCell ref="C257:D257"/>
    <mergeCell ref="E257:F257"/>
    <mergeCell ref="G257:H257"/>
  </mergeCells>
  <conditionalFormatting sqref="D35">
    <cfRule type="expression" dxfId="609" priority="296">
      <formula>D35="Not a valid item #"</formula>
    </cfRule>
    <cfRule type="expression" dxfId="608" priority="297">
      <formula>D35="Not in NPSLS"</formula>
    </cfRule>
    <cfRule type="expression" dxfId="607" priority="298">
      <formula>D35="Obsolete"</formula>
    </cfRule>
    <cfRule type="expression" dxfId="606" priority="299">
      <formula>D35=""</formula>
    </cfRule>
    <cfRule type="expression" dxfId="605" priority="300">
      <formula>D35="List Price"</formula>
    </cfRule>
  </conditionalFormatting>
  <conditionalFormatting sqref="D37:D43 D45:D51">
    <cfRule type="expression" dxfId="604" priority="291">
      <formula>D37="Not a valid item #"</formula>
    </cfRule>
    <cfRule type="expression" dxfId="603" priority="292">
      <formula>D37="Not in NPSLS"</formula>
    </cfRule>
    <cfRule type="expression" dxfId="602" priority="293">
      <formula>D37="Obsolete"</formula>
    </cfRule>
    <cfRule type="expression" dxfId="601" priority="294">
      <formula>D37=""</formula>
    </cfRule>
    <cfRule type="expression" dxfId="600" priority="295">
      <formula>D37="List Price"</formula>
    </cfRule>
  </conditionalFormatting>
  <conditionalFormatting sqref="D53:D59">
    <cfRule type="expression" dxfId="599" priority="256">
      <formula>D53="Not a valid item #"</formula>
    </cfRule>
    <cfRule type="expression" dxfId="598" priority="257">
      <formula>D53="Not in NPSLS"</formula>
    </cfRule>
    <cfRule type="expression" dxfId="597" priority="258">
      <formula>D53="Obsolete"</formula>
    </cfRule>
    <cfRule type="expression" dxfId="596" priority="259">
      <formula>D53=""</formula>
    </cfRule>
    <cfRule type="expression" dxfId="595" priority="260">
      <formula>D53="List Price"</formula>
    </cfRule>
  </conditionalFormatting>
  <conditionalFormatting sqref="D61:D67">
    <cfRule type="expression" dxfId="594" priority="251">
      <formula>D61="Not a valid item #"</formula>
    </cfRule>
    <cfRule type="expression" dxfId="593" priority="252">
      <formula>D61="Not in NPSLS"</formula>
    </cfRule>
    <cfRule type="expression" dxfId="592" priority="253">
      <formula>D61="Obsolete"</formula>
    </cfRule>
    <cfRule type="expression" dxfId="591" priority="254">
      <formula>D61=""</formula>
    </cfRule>
    <cfRule type="expression" dxfId="590" priority="255">
      <formula>D61="List Price"</formula>
    </cfRule>
  </conditionalFormatting>
  <conditionalFormatting sqref="D69:D75">
    <cfRule type="expression" dxfId="589" priority="246">
      <formula>D69="Not a valid item #"</formula>
    </cfRule>
    <cfRule type="expression" dxfId="588" priority="247">
      <formula>D69="Not in NPSLS"</formula>
    </cfRule>
    <cfRule type="expression" dxfId="587" priority="248">
      <formula>D69="Obsolete"</formula>
    </cfRule>
    <cfRule type="expression" dxfId="586" priority="249">
      <formula>D69=""</formula>
    </cfRule>
    <cfRule type="expression" dxfId="585" priority="250">
      <formula>D69="List Price"</formula>
    </cfRule>
  </conditionalFormatting>
  <conditionalFormatting sqref="D77:D83">
    <cfRule type="expression" dxfId="584" priority="241">
      <formula>D77="Not a valid item #"</formula>
    </cfRule>
    <cfRule type="expression" dxfId="583" priority="242">
      <formula>D77="Not in NPSLS"</formula>
    </cfRule>
    <cfRule type="expression" dxfId="582" priority="243">
      <formula>D77="Obsolete"</formula>
    </cfRule>
    <cfRule type="expression" dxfId="581" priority="244">
      <formula>D77=""</formula>
    </cfRule>
    <cfRule type="expression" dxfId="580" priority="245">
      <formula>D77="List Price"</formula>
    </cfRule>
  </conditionalFormatting>
  <conditionalFormatting sqref="D85:D91 D93:D99">
    <cfRule type="expression" dxfId="579" priority="236">
      <formula>D85="Not a valid item #"</formula>
    </cfRule>
    <cfRule type="expression" dxfId="578" priority="237">
      <formula>D85="Not in NPSLS"</formula>
    </cfRule>
    <cfRule type="expression" dxfId="577" priority="238">
      <formula>D85="Obsolete"</formula>
    </cfRule>
    <cfRule type="expression" dxfId="576" priority="239">
      <formula>D85=""</formula>
    </cfRule>
    <cfRule type="expression" dxfId="575" priority="240">
      <formula>D85="List Price"</formula>
    </cfRule>
  </conditionalFormatting>
  <conditionalFormatting sqref="D147">
    <cfRule type="expression" dxfId="574" priority="216">
      <formula>D147="Not a valid item #"</formula>
    </cfRule>
    <cfRule type="expression" dxfId="573" priority="217">
      <formula>D147="Not in NPSLS"</formula>
    </cfRule>
    <cfRule type="expression" dxfId="572" priority="218">
      <formula>D147="Obsolete"</formula>
    </cfRule>
    <cfRule type="expression" dxfId="571" priority="219">
      <formula>D147=""</formula>
    </cfRule>
    <cfRule type="expression" dxfId="570" priority="220">
      <formula>D147="List Price"</formula>
    </cfRule>
  </conditionalFormatting>
  <conditionalFormatting sqref="D161:D172">
    <cfRule type="expression" dxfId="569" priority="211">
      <formula>D161="Not a valid item #"</formula>
    </cfRule>
    <cfRule type="expression" dxfId="568" priority="212">
      <formula>D161="Not in NPSLS"</formula>
    </cfRule>
    <cfRule type="expression" dxfId="567" priority="213">
      <formula>D161="Obsolete"</formula>
    </cfRule>
    <cfRule type="expression" dxfId="566" priority="214">
      <formula>D161=""</formula>
    </cfRule>
    <cfRule type="expression" dxfId="565" priority="215">
      <formula>D161="List Price"</formula>
    </cfRule>
  </conditionalFormatting>
  <conditionalFormatting sqref="D186:D196">
    <cfRule type="expression" dxfId="564" priority="6">
      <formula>D186="Not a valid item #"</formula>
    </cfRule>
    <cfRule type="expression" dxfId="563" priority="7">
      <formula>D186="Not in NPSLS"</formula>
    </cfRule>
    <cfRule type="expression" dxfId="562" priority="8">
      <formula>D186="Obsolete"</formula>
    </cfRule>
    <cfRule type="expression" dxfId="561" priority="9">
      <formula>D186=""</formula>
    </cfRule>
    <cfRule type="expression" dxfId="560" priority="10">
      <formula>D186="List Price"</formula>
    </cfRule>
  </conditionalFormatting>
  <conditionalFormatting sqref="D198:D208">
    <cfRule type="expression" dxfId="559" priority="171">
      <formula>D198="Not a valid item #"</formula>
    </cfRule>
    <cfRule type="expression" dxfId="558" priority="172">
      <formula>D198="Not in NPSLS"</formula>
    </cfRule>
    <cfRule type="expression" dxfId="557" priority="173">
      <formula>D198="Obsolete"</formula>
    </cfRule>
    <cfRule type="expression" dxfId="556" priority="174">
      <formula>D198=""</formula>
    </cfRule>
    <cfRule type="expression" dxfId="555" priority="175">
      <formula>D198="List Price"</formula>
    </cfRule>
  </conditionalFormatting>
  <conditionalFormatting sqref="D210:D220">
    <cfRule type="expression" dxfId="554" priority="166">
      <formula>D210="Not a valid item #"</formula>
    </cfRule>
    <cfRule type="expression" dxfId="553" priority="167">
      <formula>D210="Not in NPSLS"</formula>
    </cfRule>
    <cfRule type="expression" dxfId="552" priority="168">
      <formula>D210="Obsolete"</formula>
    </cfRule>
    <cfRule type="expression" dxfId="551" priority="169">
      <formula>D210=""</formula>
    </cfRule>
    <cfRule type="expression" dxfId="550" priority="170">
      <formula>D210="List Price"</formula>
    </cfRule>
  </conditionalFormatting>
  <conditionalFormatting sqref="D222:D232">
    <cfRule type="expression" dxfId="549" priority="161">
      <formula>D222="Not a valid item #"</formula>
    </cfRule>
    <cfRule type="expression" dxfId="548" priority="162">
      <formula>D222="Not in NPSLS"</formula>
    </cfRule>
    <cfRule type="expression" dxfId="547" priority="163">
      <formula>D222="Obsolete"</formula>
    </cfRule>
    <cfRule type="expression" dxfId="546" priority="164">
      <formula>D222=""</formula>
    </cfRule>
    <cfRule type="expression" dxfId="545" priority="165">
      <formula>D222="List Price"</formula>
    </cfRule>
  </conditionalFormatting>
  <conditionalFormatting sqref="D234:D244">
    <cfRule type="expression" dxfId="544" priority="156">
      <formula>D234="Not a valid item #"</formula>
    </cfRule>
    <cfRule type="expression" dxfId="543" priority="157">
      <formula>D234="Not in NPSLS"</formula>
    </cfRule>
    <cfRule type="expression" dxfId="542" priority="158">
      <formula>D234="Obsolete"</formula>
    </cfRule>
    <cfRule type="expression" dxfId="541" priority="159">
      <formula>D234=""</formula>
    </cfRule>
    <cfRule type="expression" dxfId="540" priority="160">
      <formula>D234="List Price"</formula>
    </cfRule>
  </conditionalFormatting>
  <conditionalFormatting sqref="D246:D252">
    <cfRule type="expression" dxfId="539" priority="1">
      <formula>D246="Not a valid item #"</formula>
    </cfRule>
    <cfRule type="expression" dxfId="538" priority="2">
      <formula>D246="Not in NPSLS"</formula>
    </cfRule>
    <cfRule type="expression" dxfId="537" priority="3">
      <formula>D246="Obsolete"</formula>
    </cfRule>
    <cfRule type="expression" dxfId="536" priority="4">
      <formula>D246=""</formula>
    </cfRule>
    <cfRule type="expression" dxfId="535" priority="5">
      <formula>D246="List Price"</formula>
    </cfRule>
  </conditionalFormatting>
  <conditionalFormatting sqref="D291">
    <cfRule type="expression" dxfId="534" priority="136">
      <formula>D291="Not a valid item #"</formula>
    </cfRule>
    <cfRule type="expression" dxfId="533" priority="137">
      <formula>D291="Not in NPSLS"</formula>
    </cfRule>
    <cfRule type="expression" dxfId="532" priority="138">
      <formula>D291="Obsolete"</formula>
    </cfRule>
    <cfRule type="expression" dxfId="531" priority="139">
      <formula>D291=""</formula>
    </cfRule>
    <cfRule type="expression" dxfId="530" priority="140">
      <formula>D291="List Price"</formula>
    </cfRule>
  </conditionalFormatting>
  <conditionalFormatting sqref="D293:D300">
    <cfRule type="expression" dxfId="529" priority="131">
      <formula>D293="Not a valid item #"</formula>
    </cfRule>
    <cfRule type="expression" dxfId="528" priority="132">
      <formula>D293="Not in NPSLS"</formula>
    </cfRule>
    <cfRule type="expression" dxfId="527" priority="133">
      <formula>D293="Obsolete"</formula>
    </cfRule>
    <cfRule type="expression" dxfId="526" priority="134">
      <formula>D293=""</formula>
    </cfRule>
    <cfRule type="expression" dxfId="525" priority="135">
      <formula>D293="List Price"</formula>
    </cfRule>
  </conditionalFormatting>
  <conditionalFormatting sqref="D302:D309">
    <cfRule type="expression" dxfId="524" priority="66">
      <formula>D302="Not a valid item #"</formula>
    </cfRule>
    <cfRule type="expression" dxfId="523" priority="67">
      <formula>D302="Not in NPSLS"</formula>
    </cfRule>
    <cfRule type="expression" dxfId="522" priority="68">
      <formula>D302="Obsolete"</formula>
    </cfRule>
    <cfRule type="expression" dxfId="521" priority="69">
      <formula>D302=""</formula>
    </cfRule>
    <cfRule type="expression" dxfId="520" priority="70">
      <formula>D302="List Price"</formula>
    </cfRule>
  </conditionalFormatting>
  <conditionalFormatting sqref="D311:D318">
    <cfRule type="expression" dxfId="519" priority="61">
      <formula>D311="Not a valid item #"</formula>
    </cfRule>
    <cfRule type="expression" dxfId="518" priority="62">
      <formula>D311="Not in NPSLS"</formula>
    </cfRule>
    <cfRule type="expression" dxfId="517" priority="63">
      <formula>D311="Obsolete"</formula>
    </cfRule>
    <cfRule type="expression" dxfId="516" priority="64">
      <formula>D311=""</formula>
    </cfRule>
    <cfRule type="expression" dxfId="515" priority="65">
      <formula>D311="List Price"</formula>
    </cfRule>
  </conditionalFormatting>
  <conditionalFormatting sqref="D320:D327">
    <cfRule type="expression" dxfId="514" priority="56">
      <formula>D320="Not a valid item #"</formula>
    </cfRule>
    <cfRule type="expression" dxfId="513" priority="57">
      <formula>D320="Not in NPSLS"</formula>
    </cfRule>
    <cfRule type="expression" dxfId="512" priority="58">
      <formula>D320="Obsolete"</formula>
    </cfRule>
    <cfRule type="expression" dxfId="511" priority="59">
      <formula>D320=""</formula>
    </cfRule>
    <cfRule type="expression" dxfId="510" priority="60">
      <formula>D320="List Price"</formula>
    </cfRule>
  </conditionalFormatting>
  <conditionalFormatting sqref="D329:D336">
    <cfRule type="expression" dxfId="509" priority="51">
      <formula>D329="Not a valid item #"</formula>
    </cfRule>
    <cfRule type="expression" dxfId="508" priority="52">
      <formula>D329="Not in NPSLS"</formula>
    </cfRule>
    <cfRule type="expression" dxfId="507" priority="53">
      <formula>D329="Obsolete"</formula>
    </cfRule>
    <cfRule type="expression" dxfId="506" priority="54">
      <formula>D329=""</formula>
    </cfRule>
    <cfRule type="expression" dxfId="505" priority="55">
      <formula>D329="List Price"</formula>
    </cfRule>
  </conditionalFormatting>
  <conditionalFormatting sqref="D338:D345">
    <cfRule type="expression" dxfId="504" priority="46">
      <formula>D338="Not a valid item #"</formula>
    </cfRule>
    <cfRule type="expression" dxfId="503" priority="47">
      <formula>D338="Not in NPSLS"</formula>
    </cfRule>
    <cfRule type="expression" dxfId="502" priority="48">
      <formula>D338="Obsolete"</formula>
    </cfRule>
    <cfRule type="expression" dxfId="501" priority="49">
      <formula>D338=""</formula>
    </cfRule>
    <cfRule type="expression" dxfId="500" priority="50">
      <formula>D338="List Price"</formula>
    </cfRule>
  </conditionalFormatting>
  <conditionalFormatting sqref="F2:F3 F5:F29 D150:D159 D175:D184">
    <cfRule type="expression" dxfId="499" priority="306">
      <formula>D2="Not a valid item #"</formula>
    </cfRule>
    <cfRule type="expression" dxfId="498" priority="307">
      <formula>D2="Not in NPSLS"</formula>
    </cfRule>
    <cfRule type="expression" dxfId="497" priority="308">
      <formula>D2="Obsolete"</formula>
    </cfRule>
    <cfRule type="expression" dxfId="496" priority="309">
      <formula>D2=""</formula>
    </cfRule>
    <cfRule type="expression" dxfId="495" priority="310">
      <formula>D2="List Price"</formula>
    </cfRule>
  </conditionalFormatting>
  <conditionalFormatting sqref="F32:F33">
    <cfRule type="expression" dxfId="494" priority="301">
      <formula>F32="Not a valid item #"</formula>
    </cfRule>
    <cfRule type="expression" dxfId="493" priority="302">
      <formula>F32="Not in NPSLS"</formula>
    </cfRule>
    <cfRule type="expression" dxfId="492" priority="303">
      <formula>F32="Obsolete"</formula>
    </cfRule>
    <cfRule type="expression" dxfId="491" priority="304">
      <formula>F32=""</formula>
    </cfRule>
    <cfRule type="expression" dxfId="490" priority="305">
      <formula>F32="List Price"</formula>
    </cfRule>
  </conditionalFormatting>
  <conditionalFormatting sqref="F102:F103 F105:F141">
    <cfRule type="expression" dxfId="489" priority="226">
      <formula>F102="Not a valid item #"</formula>
    </cfRule>
    <cfRule type="expression" dxfId="488" priority="227">
      <formula>F102="Not in NPSLS"</formula>
    </cfRule>
    <cfRule type="expression" dxfId="487" priority="228">
      <formula>F102="Obsolete"</formula>
    </cfRule>
    <cfRule type="expression" dxfId="486" priority="229">
      <formula>F102=""</formula>
    </cfRule>
    <cfRule type="expression" dxfId="485" priority="230">
      <formula>F102="List Price"</formula>
    </cfRule>
  </conditionalFormatting>
  <conditionalFormatting sqref="F144:F145">
    <cfRule type="expression" dxfId="484" priority="221">
      <formula>F144="Not a valid item #"</formula>
    </cfRule>
    <cfRule type="expression" dxfId="483" priority="222">
      <formula>F144="Not in NPSLS"</formula>
    </cfRule>
    <cfRule type="expression" dxfId="482" priority="223">
      <formula>F144="Obsolete"</formula>
    </cfRule>
    <cfRule type="expression" dxfId="481" priority="224">
      <formula>F144=""</formula>
    </cfRule>
    <cfRule type="expression" dxfId="480" priority="225">
      <formula>F144="List Price"</formula>
    </cfRule>
  </conditionalFormatting>
  <conditionalFormatting sqref="F255:F256 F258:F285">
    <cfRule type="expression" dxfId="479" priority="146">
      <formula>F255="Not a valid item #"</formula>
    </cfRule>
    <cfRule type="expression" dxfId="478" priority="147">
      <formula>F255="Not in NPSLS"</formula>
    </cfRule>
    <cfRule type="expression" dxfId="477" priority="148">
      <formula>F255="Obsolete"</formula>
    </cfRule>
    <cfRule type="expression" dxfId="476" priority="149">
      <formula>F255=""</formula>
    </cfRule>
    <cfRule type="expression" dxfId="475" priority="150">
      <formula>F255="List Price"</formula>
    </cfRule>
  </conditionalFormatting>
  <conditionalFormatting sqref="F288:F289">
    <cfRule type="expression" dxfId="474" priority="141">
      <formula>F288="Not a valid item #"</formula>
    </cfRule>
    <cfRule type="expression" dxfId="473" priority="142">
      <formula>F288="Not in NPSLS"</formula>
    </cfRule>
    <cfRule type="expression" dxfId="472" priority="143">
      <formula>F288="Obsolete"</formula>
    </cfRule>
    <cfRule type="expression" dxfId="471" priority="144">
      <formula>F288=""</formula>
    </cfRule>
    <cfRule type="expression" dxfId="470" priority="145">
      <formula>F288="List Price"</formula>
    </cfRule>
  </conditionalFormatting>
  <hyperlinks>
    <hyperlink ref="A1" location="'Table of Contents'!A1" display="Return Home" xr:uid="{7B2C441A-C07E-45C8-AB54-C90CFB2BED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A61-F9A6-4197-BD8C-5C6E6CFD200D}">
  <sheetPr codeName="Sheet11"/>
  <dimension ref="A1:Q333"/>
  <sheetViews>
    <sheetView showGridLines="0" zoomScale="90" zoomScaleNormal="90" workbookViewId="0"/>
  </sheetViews>
  <sheetFormatPr defaultRowHeight="15" x14ac:dyDescent="0.25"/>
  <cols>
    <col min="1" max="1" width="30.42578125" customWidth="1"/>
    <col min="2" max="2" width="31.140625" customWidth="1"/>
    <col min="3" max="3" width="26.85546875" customWidth="1"/>
    <col min="4" max="4" width="11.7109375" customWidth="1"/>
    <col min="5" max="5" width="13.7109375" customWidth="1"/>
    <col min="6" max="6" width="10" bestFit="1" customWidth="1"/>
    <col min="8" max="8" width="9.85546875" bestFit="1" customWidth="1"/>
    <col min="9" max="9" width="10.85546875" bestFit="1" customWidth="1"/>
    <col min="10" max="10" width="10" customWidth="1"/>
    <col min="11" max="11" width="13" customWidth="1"/>
    <col min="12" max="12" width="12" bestFit="1" customWidth="1"/>
    <col min="13" max="13" width="11.28515625" bestFit="1" customWidth="1"/>
    <col min="14" max="14" width="12.140625" bestFit="1" customWidth="1"/>
  </cols>
  <sheetData>
    <row r="1" spans="1:16" x14ac:dyDescent="0.25">
      <c r="A1" s="255" t="s">
        <v>5540</v>
      </c>
    </row>
    <row r="2" spans="1:16" s="1" customFormat="1" ht="15.75" x14ac:dyDescent="0.25">
      <c r="A2" s="62" t="s">
        <v>1879</v>
      </c>
      <c r="B2" s="62" t="s">
        <v>468</v>
      </c>
      <c r="C2" s="62"/>
      <c r="D2" s="14"/>
      <c r="E2" s="3"/>
      <c r="F2" s="8"/>
      <c r="G2" s="110"/>
      <c r="H2" s="111"/>
      <c r="I2" s="19"/>
      <c r="J2" s="19"/>
      <c r="K2" s="20"/>
      <c r="L2"/>
      <c r="M2"/>
      <c r="N2"/>
      <c r="O2"/>
      <c r="P2"/>
    </row>
    <row r="3" spans="1:16" s="1" customFormat="1" ht="15.75" x14ac:dyDescent="0.25">
      <c r="A3" s="48" t="s">
        <v>5568</v>
      </c>
      <c r="B3" s="11"/>
      <c r="C3" s="11"/>
      <c r="D3" s="4"/>
      <c r="E3" s="4"/>
      <c r="F3" s="5"/>
      <c r="G3" s="110"/>
      <c r="H3" s="4"/>
      <c r="I3" s="19"/>
      <c r="J3" s="19"/>
      <c r="K3" s="20"/>
      <c r="L3"/>
      <c r="M3"/>
      <c r="N3"/>
      <c r="O3"/>
      <c r="P3"/>
    </row>
    <row r="4" spans="1:16" s="1" customFormat="1" ht="24" x14ac:dyDescent="0.25">
      <c r="A4" s="25" t="s">
        <v>35</v>
      </c>
      <c r="B4" s="140" t="s">
        <v>36</v>
      </c>
      <c r="C4" s="140" t="s">
        <v>1880</v>
      </c>
      <c r="D4" s="333" t="s">
        <v>37</v>
      </c>
      <c r="E4" s="334"/>
      <c r="F4" s="335" t="s">
        <v>38</v>
      </c>
      <c r="G4" s="337"/>
      <c r="H4" s="335" t="s">
        <v>39</v>
      </c>
      <c r="I4" s="336"/>
      <c r="J4" s="42" t="s">
        <v>40</v>
      </c>
      <c r="K4" s="24" t="s">
        <v>41</v>
      </c>
      <c r="L4"/>
      <c r="M4"/>
      <c r="N4"/>
      <c r="O4"/>
      <c r="P4"/>
    </row>
    <row r="5" spans="1:16" s="1" customFormat="1" x14ac:dyDescent="0.25">
      <c r="A5" s="96"/>
      <c r="B5" s="32"/>
      <c r="C5" s="129"/>
      <c r="D5" s="188" t="s">
        <v>42</v>
      </c>
      <c r="E5" s="188" t="s">
        <v>43</v>
      </c>
      <c r="F5" s="33" t="s">
        <v>44</v>
      </c>
      <c r="G5" s="33" t="s">
        <v>45</v>
      </c>
      <c r="H5" s="33" t="s">
        <v>46</v>
      </c>
      <c r="I5" s="39" t="s">
        <v>47</v>
      </c>
      <c r="J5" s="33"/>
      <c r="K5" s="41"/>
      <c r="L5"/>
      <c r="M5"/>
      <c r="N5"/>
      <c r="O5"/>
      <c r="P5"/>
    </row>
    <row r="6" spans="1:16" s="1" customFormat="1" x14ac:dyDescent="0.25">
      <c r="A6" s="60" t="s">
        <v>1881</v>
      </c>
      <c r="B6" s="60" t="s">
        <v>49</v>
      </c>
      <c r="C6" s="60" t="s">
        <v>1882</v>
      </c>
      <c r="D6" s="89" t="s">
        <v>50</v>
      </c>
      <c r="E6" s="35" t="s">
        <v>176</v>
      </c>
      <c r="F6" s="64">
        <v>0.75</v>
      </c>
      <c r="G6" s="98">
        <v>20</v>
      </c>
      <c r="H6" s="35">
        <v>27</v>
      </c>
      <c r="I6" s="40">
        <v>12.2</v>
      </c>
      <c r="J6" s="38" t="s">
        <v>1883</v>
      </c>
      <c r="K6" s="34">
        <f>IFERROR(_xlfn.XLOOKUP(J6,Index!$A:$A,Index!$B:$B),"")</f>
        <v>3521</v>
      </c>
      <c r="L6"/>
      <c r="M6"/>
      <c r="N6"/>
      <c r="O6"/>
      <c r="P6"/>
    </row>
    <row r="7" spans="1:16" x14ac:dyDescent="0.25">
      <c r="A7" s="124"/>
      <c r="B7" s="124"/>
      <c r="C7" s="124"/>
      <c r="D7" s="124"/>
      <c r="E7" s="35" t="s">
        <v>176</v>
      </c>
      <c r="F7" s="64">
        <v>1</v>
      </c>
      <c r="G7" s="98">
        <v>25</v>
      </c>
      <c r="H7" s="35">
        <v>28</v>
      </c>
      <c r="I7" s="40">
        <v>12.7</v>
      </c>
      <c r="J7" s="38" t="s">
        <v>1884</v>
      </c>
      <c r="K7" s="34">
        <f>IFERROR(_xlfn.XLOOKUP(J7,Index!$A:$A,Index!$B:$B),"")</f>
        <v>3521</v>
      </c>
    </row>
    <row r="8" spans="1:16" x14ac:dyDescent="0.25">
      <c r="A8" s="124"/>
      <c r="B8" s="124"/>
      <c r="C8" s="124"/>
      <c r="D8" s="124"/>
      <c r="E8" s="35" t="s">
        <v>176</v>
      </c>
      <c r="F8" s="64">
        <v>1.25</v>
      </c>
      <c r="G8" s="98">
        <v>32</v>
      </c>
      <c r="H8" s="35">
        <v>70</v>
      </c>
      <c r="I8" s="40">
        <v>32</v>
      </c>
      <c r="J8" s="38" t="s">
        <v>1885</v>
      </c>
      <c r="K8" s="34">
        <f>IFERROR(_xlfn.XLOOKUP(J8,Index!$A:$A,Index!$B:$B),"")</f>
        <v>3921</v>
      </c>
    </row>
    <row r="9" spans="1:16" x14ac:dyDescent="0.25">
      <c r="A9" s="124"/>
      <c r="B9" s="124"/>
      <c r="C9" s="124"/>
      <c r="D9" s="124"/>
      <c r="E9" s="35" t="s">
        <v>176</v>
      </c>
      <c r="F9" s="64">
        <v>1.5</v>
      </c>
      <c r="G9" s="98">
        <v>40</v>
      </c>
      <c r="H9" s="35">
        <v>72</v>
      </c>
      <c r="I9" s="40">
        <v>33</v>
      </c>
      <c r="J9" s="38" t="s">
        <v>1886</v>
      </c>
      <c r="K9" s="34">
        <f>IFERROR(_xlfn.XLOOKUP(J9,Index!$A:$A,Index!$B:$B),"")</f>
        <v>3921</v>
      </c>
    </row>
    <row r="10" spans="1:16" x14ac:dyDescent="0.25">
      <c r="A10" s="124"/>
      <c r="B10" s="124"/>
      <c r="C10" s="124"/>
      <c r="D10" s="124"/>
      <c r="E10" s="35" t="s">
        <v>176</v>
      </c>
      <c r="F10" s="64">
        <v>2</v>
      </c>
      <c r="G10" s="98">
        <v>50</v>
      </c>
      <c r="H10" s="35">
        <v>94</v>
      </c>
      <c r="I10" s="40">
        <v>43</v>
      </c>
      <c r="J10" s="38" t="s">
        <v>1887</v>
      </c>
      <c r="K10" s="34">
        <f>IFERROR(_xlfn.XLOOKUP(J10,Index!$A:$A,Index!$B:$B),"")</f>
        <v>6612</v>
      </c>
    </row>
    <row r="11" spans="1:16" x14ac:dyDescent="0.25">
      <c r="A11" s="124"/>
      <c r="B11" s="124"/>
      <c r="C11" s="124"/>
      <c r="D11" s="124"/>
      <c r="E11" s="35" t="s">
        <v>176</v>
      </c>
      <c r="F11" s="64">
        <v>2.5</v>
      </c>
      <c r="G11" s="98">
        <v>65</v>
      </c>
      <c r="H11" s="35">
        <v>136</v>
      </c>
      <c r="I11" s="40">
        <v>62</v>
      </c>
      <c r="J11" s="38" t="s">
        <v>1888</v>
      </c>
      <c r="K11" s="34">
        <f>IFERROR(_xlfn.XLOOKUP(J11,Index!$A:$A,Index!$B:$B),"")</f>
        <v>7290</v>
      </c>
    </row>
    <row r="12" spans="1:16" x14ac:dyDescent="0.25">
      <c r="A12" s="120"/>
      <c r="B12" s="120"/>
      <c r="C12" s="120"/>
      <c r="D12" s="120"/>
      <c r="E12" s="35" t="s">
        <v>176</v>
      </c>
      <c r="F12" s="64">
        <v>3</v>
      </c>
      <c r="G12" s="98">
        <v>80</v>
      </c>
      <c r="H12" s="35">
        <v>140</v>
      </c>
      <c r="I12" s="40">
        <v>64</v>
      </c>
      <c r="J12" s="38" t="s">
        <v>1889</v>
      </c>
      <c r="K12" s="34">
        <f>IFERROR(_xlfn.XLOOKUP(J12,Index!$A:$A,Index!$B:$B),"")</f>
        <v>7942</v>
      </c>
    </row>
    <row r="13" spans="1:16" x14ac:dyDescent="0.25">
      <c r="E13" s="4"/>
      <c r="F13" s="80"/>
      <c r="G13" s="142"/>
      <c r="H13" s="4"/>
      <c r="I13" s="19"/>
      <c r="J13" s="19"/>
      <c r="K13" s="84"/>
    </row>
    <row r="14" spans="1:16" s="1" customFormat="1" ht="16.5" customHeight="1" x14ac:dyDescent="0.25">
      <c r="A14" s="62" t="s">
        <v>6209</v>
      </c>
      <c r="B14" s="62" t="s">
        <v>468</v>
      </c>
      <c r="C14" s="62"/>
      <c r="D14" s="14"/>
      <c r="E14" s="3"/>
      <c r="F14" s="8"/>
      <c r="G14" s="110"/>
      <c r="H14" s="111"/>
      <c r="I14" s="19"/>
      <c r="J14" s="19"/>
      <c r="K14" s="20"/>
      <c r="L14"/>
      <c r="M14"/>
      <c r="N14"/>
      <c r="O14"/>
      <c r="P14"/>
    </row>
    <row r="15" spans="1:16" s="1" customFormat="1" ht="15.75" x14ac:dyDescent="0.25">
      <c r="A15" s="48" t="s">
        <v>5569</v>
      </c>
      <c r="B15" s="11"/>
      <c r="C15" s="11"/>
      <c r="D15" s="4"/>
      <c r="E15" s="4"/>
      <c r="F15" s="5"/>
      <c r="G15" s="110"/>
      <c r="H15" s="4"/>
      <c r="I15" s="19"/>
      <c r="J15" s="19"/>
      <c r="K15" s="20"/>
      <c r="L15"/>
      <c r="M15"/>
      <c r="N15"/>
      <c r="O15"/>
      <c r="P15"/>
    </row>
    <row r="16" spans="1:16" s="1" customFormat="1" ht="24" x14ac:dyDescent="0.25">
      <c r="A16" s="25" t="s">
        <v>35</v>
      </c>
      <c r="B16" s="140" t="s">
        <v>36</v>
      </c>
      <c r="C16" s="140" t="s">
        <v>1880</v>
      </c>
      <c r="D16" s="333" t="s">
        <v>37</v>
      </c>
      <c r="E16" s="334"/>
      <c r="F16" s="335" t="s">
        <v>38</v>
      </c>
      <c r="G16" s="337"/>
      <c r="H16" s="335" t="s">
        <v>39</v>
      </c>
      <c r="I16" s="336"/>
      <c r="J16" s="42" t="s">
        <v>40</v>
      </c>
      <c r="K16" s="24" t="s">
        <v>41</v>
      </c>
      <c r="L16"/>
      <c r="M16"/>
      <c r="N16"/>
      <c r="O16"/>
      <c r="P16"/>
    </row>
    <row r="17" spans="1:16" s="1" customFormat="1" x14ac:dyDescent="0.25">
      <c r="A17" s="32"/>
      <c r="B17" s="32"/>
      <c r="C17" s="129"/>
      <c r="D17" s="188" t="s">
        <v>42</v>
      </c>
      <c r="E17" s="188" t="s">
        <v>43</v>
      </c>
      <c r="F17" s="33" t="s">
        <v>44</v>
      </c>
      <c r="G17" s="33" t="s">
        <v>45</v>
      </c>
      <c r="H17" s="33" t="s">
        <v>46</v>
      </c>
      <c r="I17" s="39" t="s">
        <v>47</v>
      </c>
      <c r="J17" s="33"/>
      <c r="K17" s="41"/>
      <c r="L17"/>
      <c r="M17"/>
      <c r="N17"/>
      <c r="O17"/>
      <c r="P17"/>
    </row>
    <row r="18" spans="1:16" s="1" customFormat="1" x14ac:dyDescent="0.25">
      <c r="A18" s="60" t="s">
        <v>1890</v>
      </c>
      <c r="B18" s="60" t="s">
        <v>216</v>
      </c>
      <c r="C18" s="60" t="s">
        <v>1882</v>
      </c>
      <c r="D18" s="89" t="s">
        <v>50</v>
      </c>
      <c r="E18" s="35" t="s">
        <v>176</v>
      </c>
      <c r="F18" s="64">
        <v>1</v>
      </c>
      <c r="G18" s="98">
        <v>25</v>
      </c>
      <c r="H18" s="35">
        <v>33</v>
      </c>
      <c r="I18" s="40">
        <v>15</v>
      </c>
      <c r="J18" s="38" t="s">
        <v>1891</v>
      </c>
      <c r="K18" s="34">
        <f>IFERROR(_xlfn.XLOOKUP(J18,Index!$A:$A,Index!$B:$B),"")</f>
        <v>4192</v>
      </c>
      <c r="L18"/>
      <c r="M18"/>
      <c r="N18"/>
      <c r="O18"/>
      <c r="P18"/>
    </row>
    <row r="19" spans="1:16" s="1" customFormat="1" x14ac:dyDescent="0.25">
      <c r="A19" s="26"/>
      <c r="B19" s="26"/>
      <c r="C19" s="26"/>
      <c r="D19" s="30"/>
      <c r="E19" s="35" t="s">
        <v>176</v>
      </c>
      <c r="F19" s="64">
        <v>1.25</v>
      </c>
      <c r="G19" s="98">
        <v>32</v>
      </c>
      <c r="H19" s="35">
        <v>60</v>
      </c>
      <c r="I19" s="40">
        <v>27</v>
      </c>
      <c r="J19" s="38" t="s">
        <v>1892</v>
      </c>
      <c r="K19" s="34">
        <f>IFERROR(_xlfn.XLOOKUP(J19,Index!$A:$A,Index!$B:$B),"")</f>
        <v>4752</v>
      </c>
      <c r="L19"/>
      <c r="M19"/>
      <c r="N19"/>
      <c r="O19"/>
      <c r="P19"/>
    </row>
    <row r="20" spans="1:16" x14ac:dyDescent="0.25">
      <c r="A20" s="124"/>
      <c r="B20" s="124"/>
      <c r="C20" s="124"/>
      <c r="D20" s="124"/>
      <c r="E20" s="35" t="s">
        <v>176</v>
      </c>
      <c r="F20" s="64">
        <v>1.5</v>
      </c>
      <c r="G20" s="98">
        <v>40</v>
      </c>
      <c r="H20" s="35">
        <v>62</v>
      </c>
      <c r="I20" s="40">
        <v>28</v>
      </c>
      <c r="J20" s="38" t="s">
        <v>1893</v>
      </c>
      <c r="K20" s="34">
        <f>IFERROR(_xlfn.XLOOKUP(J20,Index!$A:$A,Index!$B:$B),"")</f>
        <v>4752</v>
      </c>
    </row>
    <row r="21" spans="1:16" x14ac:dyDescent="0.25">
      <c r="A21" s="60" t="s">
        <v>1894</v>
      </c>
      <c r="B21" s="60" t="s">
        <v>216</v>
      </c>
      <c r="C21" s="60" t="s">
        <v>1882</v>
      </c>
      <c r="D21" s="89" t="s">
        <v>50</v>
      </c>
      <c r="E21" s="35" t="s">
        <v>176</v>
      </c>
      <c r="F21" s="64">
        <v>2</v>
      </c>
      <c r="G21" s="98">
        <v>50</v>
      </c>
      <c r="H21" s="35">
        <v>100</v>
      </c>
      <c r="I21" s="40">
        <v>45</v>
      </c>
      <c r="J21" s="38" t="s">
        <v>6125</v>
      </c>
      <c r="K21" s="34">
        <f>IFERROR(_xlfn.XLOOKUP(J21,Index!$A:$A,Index!$B:$B),"")</f>
        <v>7063</v>
      </c>
    </row>
    <row r="22" spans="1:16" x14ac:dyDescent="0.25">
      <c r="A22" s="314" t="s">
        <v>6185</v>
      </c>
      <c r="B22" s="133"/>
      <c r="C22" s="124"/>
      <c r="D22" s="124"/>
      <c r="E22" s="35" t="s">
        <v>176</v>
      </c>
      <c r="F22" s="64">
        <v>2.5</v>
      </c>
      <c r="G22" s="98">
        <v>65</v>
      </c>
      <c r="H22" s="35">
        <v>160</v>
      </c>
      <c r="I22" s="40">
        <v>73</v>
      </c>
      <c r="J22" s="38" t="s">
        <v>6127</v>
      </c>
      <c r="K22" s="34">
        <f>IFERROR(_xlfn.XLOOKUP(J22,Index!$A:$A,Index!$B:$B),"")</f>
        <v>7538</v>
      </c>
    </row>
    <row r="23" spans="1:16" x14ac:dyDescent="0.25">
      <c r="A23" s="124"/>
      <c r="B23" s="124"/>
      <c r="C23" s="124"/>
      <c r="D23" s="124"/>
      <c r="E23" s="35" t="s">
        <v>176</v>
      </c>
      <c r="F23" s="64">
        <v>3</v>
      </c>
      <c r="G23" s="98">
        <v>80</v>
      </c>
      <c r="H23" s="35">
        <v>164</v>
      </c>
      <c r="I23" s="40">
        <v>74</v>
      </c>
      <c r="J23" s="38" t="s">
        <v>6129</v>
      </c>
      <c r="K23" s="34">
        <f>IFERROR(_xlfn.XLOOKUP(J23,Index!$A:$A,Index!$B:$B),"")</f>
        <v>8219</v>
      </c>
    </row>
    <row r="24" spans="1:16" x14ac:dyDescent="0.25">
      <c r="A24" s="124"/>
      <c r="B24" s="124"/>
      <c r="C24" s="124"/>
      <c r="D24" s="124"/>
      <c r="E24" s="35" t="s">
        <v>176</v>
      </c>
      <c r="F24" s="64">
        <v>4</v>
      </c>
      <c r="G24" s="98">
        <v>100</v>
      </c>
      <c r="H24" s="35">
        <v>350</v>
      </c>
      <c r="I24" s="40">
        <v>159</v>
      </c>
      <c r="J24" s="38" t="s">
        <v>6131</v>
      </c>
      <c r="K24" s="34">
        <f>IFERROR(_xlfn.XLOOKUP(J24,Index!$A:$A,Index!$B:$B),"")</f>
        <v>13878</v>
      </c>
    </row>
    <row r="25" spans="1:16" x14ac:dyDescent="0.25">
      <c r="A25" s="124"/>
      <c r="B25" s="124"/>
      <c r="C25" s="124"/>
      <c r="D25" s="124"/>
      <c r="E25" s="35" t="s">
        <v>241</v>
      </c>
      <c r="F25" s="64">
        <v>5</v>
      </c>
      <c r="G25" s="98">
        <v>125</v>
      </c>
      <c r="H25" s="35">
        <v>760</v>
      </c>
      <c r="I25" s="40">
        <v>345</v>
      </c>
      <c r="J25" s="38" t="s">
        <v>6132</v>
      </c>
      <c r="K25" s="34">
        <f>IFERROR(_xlfn.XLOOKUP(J25,Index!$A:$A,Index!$B:$B),"")</f>
        <v>30205</v>
      </c>
    </row>
    <row r="26" spans="1:16" x14ac:dyDescent="0.25">
      <c r="A26" s="120"/>
      <c r="B26" s="120"/>
      <c r="C26" s="120"/>
      <c r="D26" s="120"/>
      <c r="E26" s="35" t="s">
        <v>241</v>
      </c>
      <c r="F26" s="64">
        <v>6</v>
      </c>
      <c r="G26" s="98">
        <v>150</v>
      </c>
      <c r="H26" s="35">
        <v>770</v>
      </c>
      <c r="I26" s="40">
        <v>349</v>
      </c>
      <c r="J26" s="38" t="s">
        <v>6135</v>
      </c>
      <c r="K26" s="34">
        <f>IFERROR(_xlfn.XLOOKUP(J26,Index!$A:$A,Index!$B:$B),"")</f>
        <v>30205</v>
      </c>
    </row>
    <row r="27" spans="1:16" x14ac:dyDescent="0.25">
      <c r="E27" s="4"/>
      <c r="F27" s="80"/>
      <c r="G27" s="142"/>
      <c r="H27" s="4"/>
      <c r="I27" s="19"/>
      <c r="J27" s="19"/>
      <c r="K27" s="84"/>
    </row>
    <row r="28" spans="1:16" s="1" customFormat="1" ht="15.75" x14ac:dyDescent="0.25">
      <c r="A28" s="62" t="s">
        <v>6208</v>
      </c>
      <c r="B28" s="62" t="s">
        <v>468</v>
      </c>
      <c r="C28" s="62"/>
      <c r="D28" s="14"/>
      <c r="E28" s="3"/>
      <c r="F28" s="8"/>
      <c r="G28" s="110"/>
      <c r="H28" s="111"/>
      <c r="I28" s="19"/>
      <c r="J28" s="19"/>
      <c r="K28" s="20"/>
      <c r="L28"/>
      <c r="M28"/>
      <c r="N28"/>
      <c r="O28"/>
      <c r="P28"/>
    </row>
    <row r="29" spans="1:16" s="1" customFormat="1" ht="15.75" x14ac:dyDescent="0.25">
      <c r="A29" s="48" t="s">
        <v>5570</v>
      </c>
      <c r="B29" s="11"/>
      <c r="C29" s="11"/>
      <c r="D29" s="4"/>
      <c r="E29" s="4"/>
      <c r="F29" s="5"/>
      <c r="G29" s="110"/>
      <c r="H29" s="4"/>
      <c r="I29" s="19"/>
      <c r="J29" s="19"/>
      <c r="K29" s="20"/>
      <c r="L29"/>
      <c r="M29"/>
      <c r="N29"/>
      <c r="O29"/>
      <c r="P29"/>
    </row>
    <row r="30" spans="1:16" s="1" customFormat="1" x14ac:dyDescent="0.25">
      <c r="A30" s="25" t="s">
        <v>35</v>
      </c>
      <c r="B30" s="140" t="s">
        <v>36</v>
      </c>
      <c r="C30" s="140"/>
      <c r="D30" s="189" t="s">
        <v>1896</v>
      </c>
      <c r="E30" s="333" t="s">
        <v>37</v>
      </c>
      <c r="F30" s="334"/>
      <c r="G30" s="335" t="s">
        <v>38</v>
      </c>
      <c r="H30" s="336"/>
      <c r="I30" s="335" t="s">
        <v>39</v>
      </c>
      <c r="J30" s="336"/>
      <c r="K30" s="42" t="s">
        <v>40</v>
      </c>
      <c r="L30" s="24" t="s">
        <v>41</v>
      </c>
      <c r="M30"/>
      <c r="N30"/>
      <c r="O30"/>
    </row>
    <row r="31" spans="1:16" s="1" customFormat="1" x14ac:dyDescent="0.25">
      <c r="A31" s="32"/>
      <c r="B31" s="32"/>
      <c r="C31" s="129"/>
      <c r="D31" s="188" t="s">
        <v>42</v>
      </c>
      <c r="E31" s="188" t="s">
        <v>42</v>
      </c>
      <c r="F31" s="188" t="s">
        <v>43</v>
      </c>
      <c r="G31" s="33" t="s">
        <v>44</v>
      </c>
      <c r="H31" s="33" t="s">
        <v>45</v>
      </c>
      <c r="I31" s="33" t="s">
        <v>46</v>
      </c>
      <c r="J31" s="39" t="s">
        <v>47</v>
      </c>
      <c r="K31" s="33"/>
      <c r="L31" s="41"/>
      <c r="M31"/>
      <c r="N31"/>
      <c r="O31"/>
    </row>
    <row r="32" spans="1:16" s="1" customFormat="1" x14ac:dyDescent="0.25">
      <c r="A32" s="60" t="s">
        <v>6186</v>
      </c>
      <c r="B32" s="60" t="s">
        <v>216</v>
      </c>
      <c r="C32" s="60" t="s">
        <v>1882</v>
      </c>
      <c r="D32" s="89" t="s">
        <v>1897</v>
      </c>
      <c r="E32" s="89" t="s">
        <v>50</v>
      </c>
      <c r="F32" s="35" t="s">
        <v>241</v>
      </c>
      <c r="G32" s="64">
        <v>8</v>
      </c>
      <c r="H32" s="98">
        <v>200</v>
      </c>
      <c r="I32" s="35">
        <v>1606</v>
      </c>
      <c r="J32" s="40">
        <v>728</v>
      </c>
      <c r="K32" s="38" t="s">
        <v>6105</v>
      </c>
      <c r="L32" s="34">
        <f>IFERROR(_xlfn.XLOOKUP(K32,Index!$A:$A,Index!$B:$B),"")</f>
        <v>59921</v>
      </c>
      <c r="M32"/>
      <c r="N32"/>
      <c r="O32"/>
    </row>
    <row r="33" spans="1:15" x14ac:dyDescent="0.25">
      <c r="A33" s="314" t="s">
        <v>6185</v>
      </c>
      <c r="B33" s="124"/>
      <c r="C33" s="124"/>
      <c r="D33" s="124"/>
      <c r="E33" s="124"/>
      <c r="F33" s="35" t="s">
        <v>241</v>
      </c>
      <c r="G33" s="64">
        <v>10</v>
      </c>
      <c r="H33" s="98">
        <v>250</v>
      </c>
      <c r="I33" s="35">
        <v>2245</v>
      </c>
      <c r="J33" s="40">
        <v>1018</v>
      </c>
      <c r="K33" s="38" t="s">
        <v>6106</v>
      </c>
      <c r="L33" s="34">
        <f>IFERROR(_xlfn.XLOOKUP(K33,Index!$A:$A,Index!$B:$B),"")</f>
        <v>85487</v>
      </c>
    </row>
    <row r="34" spans="1:15" x14ac:dyDescent="0.25">
      <c r="A34" s="124"/>
      <c r="B34" s="124"/>
      <c r="C34" s="124"/>
      <c r="D34" s="124"/>
      <c r="E34" s="124"/>
      <c r="F34" s="35" t="s">
        <v>241</v>
      </c>
      <c r="G34" s="64">
        <v>12</v>
      </c>
      <c r="H34" s="98">
        <v>300</v>
      </c>
      <c r="I34" s="35">
        <v>2857</v>
      </c>
      <c r="J34" s="40">
        <v>1296</v>
      </c>
      <c r="K34" s="38" t="s">
        <v>6107</v>
      </c>
      <c r="L34" s="34">
        <f>IFERROR(_xlfn.XLOOKUP(K34,Index!$A:$A,Index!$B:$B),"")</f>
        <v>94275</v>
      </c>
    </row>
    <row r="35" spans="1:15" x14ac:dyDescent="0.25">
      <c r="A35" s="124"/>
      <c r="B35" s="124"/>
      <c r="C35" s="124"/>
      <c r="D35" s="124"/>
      <c r="E35" s="124"/>
      <c r="F35" s="35" t="s">
        <v>241</v>
      </c>
      <c r="G35" s="64">
        <v>14</v>
      </c>
      <c r="H35" s="98">
        <v>350</v>
      </c>
      <c r="I35" s="35">
        <v>3652</v>
      </c>
      <c r="J35" s="40">
        <v>1657</v>
      </c>
      <c r="K35" s="38" t="s">
        <v>6111</v>
      </c>
      <c r="L35" s="34">
        <f>IFERROR(_xlfn.XLOOKUP(K35,Index!$A:$A,Index!$B:$B),"")</f>
        <v>111052</v>
      </c>
    </row>
    <row r="36" spans="1:15" x14ac:dyDescent="0.25">
      <c r="A36" s="120"/>
      <c r="B36" s="120"/>
      <c r="C36" s="120"/>
      <c r="D36" s="120"/>
      <c r="E36" s="120"/>
      <c r="F36" s="35" t="s">
        <v>241</v>
      </c>
      <c r="G36" s="64">
        <v>16</v>
      </c>
      <c r="H36" s="98">
        <v>400</v>
      </c>
      <c r="I36" s="35">
        <v>4400</v>
      </c>
      <c r="J36" s="40">
        <v>1996</v>
      </c>
      <c r="K36" s="38" t="s">
        <v>6113</v>
      </c>
      <c r="L36" s="34">
        <f>IFERROR(_xlfn.XLOOKUP(K36,Index!$A:$A,Index!$B:$B),"")</f>
        <v>136615</v>
      </c>
    </row>
    <row r="37" spans="1:15" x14ac:dyDescent="0.25">
      <c r="F37" s="4"/>
      <c r="G37" s="80"/>
      <c r="H37" s="142"/>
      <c r="I37" s="4"/>
      <c r="J37" s="19"/>
      <c r="K37" s="19"/>
      <c r="L37" s="84"/>
    </row>
    <row r="38" spans="1:15" s="1" customFormat="1" ht="15.75" x14ac:dyDescent="0.25">
      <c r="A38" s="62" t="s">
        <v>1898</v>
      </c>
      <c r="B38" s="62" t="s">
        <v>647</v>
      </c>
      <c r="C38" s="62"/>
      <c r="D38" s="14"/>
      <c r="E38" s="3"/>
      <c r="F38" s="8"/>
      <c r="G38" s="110"/>
      <c r="H38" s="111"/>
      <c r="I38" s="19"/>
      <c r="J38" s="19"/>
      <c r="K38" s="20"/>
      <c r="L38"/>
      <c r="M38"/>
      <c r="N38"/>
      <c r="O38"/>
    </row>
    <row r="39" spans="1:15" s="1" customFormat="1" ht="15.75" x14ac:dyDescent="0.25">
      <c r="A39" s="48" t="s">
        <v>5568</v>
      </c>
      <c r="B39" s="11"/>
      <c r="C39" s="11"/>
      <c r="D39" s="4"/>
      <c r="E39" s="4"/>
      <c r="F39" s="5"/>
      <c r="G39" s="110"/>
      <c r="H39" s="4"/>
      <c r="I39" s="19"/>
      <c r="J39" s="19"/>
      <c r="K39" s="20"/>
      <c r="L39"/>
      <c r="M39"/>
      <c r="N39"/>
      <c r="O39"/>
    </row>
    <row r="40" spans="1:15" s="1" customFormat="1" ht="24" x14ac:dyDescent="0.25">
      <c r="A40" s="25" t="s">
        <v>35</v>
      </c>
      <c r="B40" s="140" t="s">
        <v>36</v>
      </c>
      <c r="C40" s="140" t="s">
        <v>1880</v>
      </c>
      <c r="D40" s="333" t="s">
        <v>37</v>
      </c>
      <c r="E40" s="334"/>
      <c r="F40" s="335" t="s">
        <v>38</v>
      </c>
      <c r="G40" s="337"/>
      <c r="H40" s="337" t="s">
        <v>39</v>
      </c>
      <c r="I40" s="336"/>
      <c r="J40" s="42" t="s">
        <v>40</v>
      </c>
      <c r="K40" s="24" t="s">
        <v>41</v>
      </c>
      <c r="L40"/>
      <c r="M40"/>
      <c r="N40"/>
      <c r="O40"/>
    </row>
    <row r="41" spans="1:15" s="1" customFormat="1" x14ac:dyDescent="0.25">
      <c r="A41" s="96"/>
      <c r="B41" s="32"/>
      <c r="C41" s="129"/>
      <c r="D41" s="188" t="s">
        <v>42</v>
      </c>
      <c r="E41" s="188" t="s">
        <v>43</v>
      </c>
      <c r="F41" s="33" t="s">
        <v>44</v>
      </c>
      <c r="G41" s="33" t="s">
        <v>45</v>
      </c>
      <c r="H41" s="33" t="s">
        <v>46</v>
      </c>
      <c r="I41" s="39" t="s">
        <v>47</v>
      </c>
      <c r="J41" s="33"/>
      <c r="K41" s="41"/>
      <c r="L41"/>
      <c r="M41"/>
      <c r="N41"/>
      <c r="O41"/>
    </row>
    <row r="42" spans="1:15" s="1" customFormat="1" x14ac:dyDescent="0.25">
      <c r="A42" s="60" t="s">
        <v>1899</v>
      </c>
      <c r="B42" s="60" t="s">
        <v>49</v>
      </c>
      <c r="C42" s="60" t="s">
        <v>1900</v>
      </c>
      <c r="D42" s="89" t="s">
        <v>50</v>
      </c>
      <c r="E42" s="35" t="s">
        <v>176</v>
      </c>
      <c r="F42" s="64">
        <v>0.75</v>
      </c>
      <c r="G42" s="98">
        <v>20</v>
      </c>
      <c r="H42" s="35">
        <v>27</v>
      </c>
      <c r="I42" s="40">
        <v>12.2</v>
      </c>
      <c r="J42" s="38" t="s">
        <v>1901</v>
      </c>
      <c r="K42" s="34">
        <f>IFERROR(_xlfn.XLOOKUP(J42,Index!$A:$A,Index!$B:$B),"")</f>
        <v>4608</v>
      </c>
      <c r="L42"/>
      <c r="M42"/>
      <c r="N42"/>
      <c r="O42"/>
    </row>
    <row r="43" spans="1:15" x14ac:dyDescent="0.25">
      <c r="A43" s="124"/>
      <c r="B43" s="124"/>
      <c r="C43" s="124"/>
      <c r="D43" s="124"/>
      <c r="E43" s="35" t="s">
        <v>176</v>
      </c>
      <c r="F43" s="64">
        <v>1</v>
      </c>
      <c r="G43" s="98">
        <v>25</v>
      </c>
      <c r="H43" s="35">
        <v>28</v>
      </c>
      <c r="I43" s="40">
        <v>12.7</v>
      </c>
      <c r="J43" s="38" t="s">
        <v>1902</v>
      </c>
      <c r="K43" s="34">
        <f>IFERROR(_xlfn.XLOOKUP(J43,Index!$A:$A,Index!$B:$B),"")</f>
        <v>4608</v>
      </c>
    </row>
    <row r="44" spans="1:15" x14ac:dyDescent="0.25">
      <c r="A44" s="124"/>
      <c r="B44" s="124"/>
      <c r="C44" s="124"/>
      <c r="D44" s="124"/>
      <c r="E44" s="35" t="s">
        <v>176</v>
      </c>
      <c r="F44" s="64">
        <v>1.25</v>
      </c>
      <c r="G44" s="98">
        <v>32</v>
      </c>
      <c r="H44" s="35">
        <v>70</v>
      </c>
      <c r="I44" s="40">
        <v>32</v>
      </c>
      <c r="J44" s="38" t="s">
        <v>1903</v>
      </c>
      <c r="K44" s="34">
        <f>IFERROR(_xlfn.XLOOKUP(J44,Index!$A:$A,Index!$B:$B),"")</f>
        <v>7440</v>
      </c>
    </row>
    <row r="45" spans="1:15" x14ac:dyDescent="0.25">
      <c r="A45" s="124"/>
      <c r="B45" s="124"/>
      <c r="C45" s="124"/>
      <c r="D45" s="124"/>
      <c r="E45" s="35" t="s">
        <v>176</v>
      </c>
      <c r="F45" s="64">
        <v>1.5</v>
      </c>
      <c r="G45" s="98">
        <v>40</v>
      </c>
      <c r="H45" s="35">
        <v>72</v>
      </c>
      <c r="I45" s="40">
        <v>33</v>
      </c>
      <c r="J45" s="38" t="s">
        <v>1904</v>
      </c>
      <c r="K45" s="34">
        <f>IFERROR(_xlfn.XLOOKUP(J45,Index!$A:$A,Index!$B:$B),"")</f>
        <v>7440</v>
      </c>
    </row>
    <row r="46" spans="1:15" x14ac:dyDescent="0.25">
      <c r="A46" s="124"/>
      <c r="B46" s="124"/>
      <c r="C46" s="124"/>
      <c r="D46" s="124"/>
      <c r="E46" s="35" t="s">
        <v>176</v>
      </c>
      <c r="F46" s="64">
        <v>2</v>
      </c>
      <c r="G46" s="98">
        <v>50</v>
      </c>
      <c r="H46" s="35">
        <v>94</v>
      </c>
      <c r="I46" s="40">
        <v>43</v>
      </c>
      <c r="J46" s="38" t="s">
        <v>1905</v>
      </c>
      <c r="K46" s="34">
        <f>IFERROR(_xlfn.XLOOKUP(J46,Index!$A:$A,Index!$B:$B),"")</f>
        <v>9856</v>
      </c>
    </row>
    <row r="47" spans="1:15" x14ac:dyDescent="0.25">
      <c r="A47" s="124"/>
      <c r="B47" s="124"/>
      <c r="C47" s="124"/>
      <c r="D47" s="124"/>
      <c r="E47" s="35" t="s">
        <v>176</v>
      </c>
      <c r="F47" s="64">
        <v>2.5</v>
      </c>
      <c r="G47" s="98">
        <v>65</v>
      </c>
      <c r="H47" s="35">
        <v>136</v>
      </c>
      <c r="I47" s="40">
        <v>62</v>
      </c>
      <c r="J47" s="38" t="s">
        <v>1906</v>
      </c>
      <c r="K47" s="34">
        <f>IFERROR(_xlfn.XLOOKUP(J47,Index!$A:$A,Index!$B:$B),"")</f>
        <v>15053</v>
      </c>
    </row>
    <row r="48" spans="1:15" x14ac:dyDescent="0.25">
      <c r="A48" s="120"/>
      <c r="B48" s="120"/>
      <c r="C48" s="120"/>
      <c r="D48" s="120"/>
      <c r="E48" s="35" t="s">
        <v>176</v>
      </c>
      <c r="F48" s="64">
        <v>3</v>
      </c>
      <c r="G48" s="98">
        <v>80</v>
      </c>
      <c r="H48" s="35">
        <v>140</v>
      </c>
      <c r="I48" s="40">
        <v>64</v>
      </c>
      <c r="J48" s="38" t="s">
        <v>1907</v>
      </c>
      <c r="K48" s="34">
        <f>IFERROR(_xlfn.XLOOKUP(J48,Index!$A:$A,Index!$B:$B),"")</f>
        <v>16409</v>
      </c>
    </row>
    <row r="49" spans="1:15" s="1" customFormat="1" x14ac:dyDescent="0.25">
      <c r="A49" s="60" t="s">
        <v>1908</v>
      </c>
      <c r="B49" s="132" t="s">
        <v>49</v>
      </c>
      <c r="C49" s="132" t="s">
        <v>1909</v>
      </c>
      <c r="D49" s="89" t="s">
        <v>50</v>
      </c>
      <c r="E49" s="35" t="s">
        <v>176</v>
      </c>
      <c r="F49" s="64">
        <v>0.75</v>
      </c>
      <c r="G49" s="98">
        <v>20</v>
      </c>
      <c r="H49" s="35">
        <v>27</v>
      </c>
      <c r="I49" s="40">
        <v>12.2</v>
      </c>
      <c r="J49" s="38" t="s">
        <v>1910</v>
      </c>
      <c r="K49" s="34">
        <f>IFERROR(_xlfn.XLOOKUP(J49,Index!$A:$A,Index!$B:$B),"")</f>
        <v>6521</v>
      </c>
      <c r="L49"/>
      <c r="M49"/>
      <c r="N49"/>
      <c r="O49"/>
    </row>
    <row r="50" spans="1:15" x14ac:dyDescent="0.25">
      <c r="A50" s="124"/>
      <c r="B50" s="133"/>
      <c r="C50" s="133"/>
      <c r="D50" s="124"/>
      <c r="E50" s="35" t="s">
        <v>176</v>
      </c>
      <c r="F50" s="64">
        <v>1</v>
      </c>
      <c r="G50" s="98">
        <v>25</v>
      </c>
      <c r="H50" s="35">
        <v>28</v>
      </c>
      <c r="I50" s="40">
        <v>12.7</v>
      </c>
      <c r="J50" s="38" t="s">
        <v>1911</v>
      </c>
      <c r="K50" s="34">
        <f>IFERROR(_xlfn.XLOOKUP(J50,Index!$A:$A,Index!$B:$B),"")</f>
        <v>6521</v>
      </c>
    </row>
    <row r="51" spans="1:15" x14ac:dyDescent="0.25">
      <c r="A51" s="124"/>
      <c r="B51" s="133"/>
      <c r="C51" s="133"/>
      <c r="D51" s="124"/>
      <c r="E51" s="35" t="s">
        <v>176</v>
      </c>
      <c r="F51" s="64">
        <v>1.25</v>
      </c>
      <c r="G51" s="98">
        <v>32</v>
      </c>
      <c r="H51" s="35">
        <v>70</v>
      </c>
      <c r="I51" s="40">
        <v>32</v>
      </c>
      <c r="J51" s="38" t="s">
        <v>1912</v>
      </c>
      <c r="K51" s="34">
        <f>IFERROR(_xlfn.XLOOKUP(J51,Index!$A:$A,Index!$B:$B),"")</f>
        <v>9778</v>
      </c>
    </row>
    <row r="52" spans="1:15" x14ac:dyDescent="0.25">
      <c r="A52" s="124"/>
      <c r="B52" s="133"/>
      <c r="C52" s="133"/>
      <c r="D52" s="124"/>
      <c r="E52" s="35" t="s">
        <v>176</v>
      </c>
      <c r="F52" s="64">
        <v>1.5</v>
      </c>
      <c r="G52" s="98">
        <v>40</v>
      </c>
      <c r="H52" s="35">
        <v>72</v>
      </c>
      <c r="I52" s="40">
        <v>33</v>
      </c>
      <c r="J52" s="38" t="s">
        <v>1913</v>
      </c>
      <c r="K52" s="34">
        <f>IFERROR(_xlfn.XLOOKUP(J52,Index!$A:$A,Index!$B:$B),"")</f>
        <v>9778</v>
      </c>
    </row>
    <row r="53" spans="1:15" x14ac:dyDescent="0.25">
      <c r="A53" s="124"/>
      <c r="B53" s="133"/>
      <c r="C53" s="133"/>
      <c r="D53" s="124"/>
      <c r="E53" s="35" t="s">
        <v>176</v>
      </c>
      <c r="F53" s="64">
        <v>2</v>
      </c>
      <c r="G53" s="98">
        <v>50</v>
      </c>
      <c r="H53" s="35">
        <v>94</v>
      </c>
      <c r="I53" s="40">
        <v>43</v>
      </c>
      <c r="J53" s="38" t="s">
        <v>1914</v>
      </c>
      <c r="K53" s="34">
        <f>IFERROR(_xlfn.XLOOKUP(J53,Index!$A:$A,Index!$B:$B),"")</f>
        <v>13816</v>
      </c>
    </row>
    <row r="54" spans="1:15" x14ac:dyDescent="0.25">
      <c r="A54" s="124"/>
      <c r="B54" s="133"/>
      <c r="C54" s="133"/>
      <c r="D54" s="124"/>
      <c r="E54" s="35" t="s">
        <v>176</v>
      </c>
      <c r="F54" s="64">
        <v>2.5</v>
      </c>
      <c r="G54" s="98">
        <v>65</v>
      </c>
      <c r="H54" s="35">
        <v>136</v>
      </c>
      <c r="I54" s="40">
        <v>62</v>
      </c>
      <c r="J54" s="38" t="s">
        <v>1915</v>
      </c>
      <c r="K54" s="34">
        <f>IFERROR(_xlfn.XLOOKUP(J54,Index!$A:$A,Index!$B:$B),"")</f>
        <v>23139</v>
      </c>
    </row>
    <row r="55" spans="1:15" x14ac:dyDescent="0.25">
      <c r="A55" s="120"/>
      <c r="B55" s="126"/>
      <c r="C55" s="126"/>
      <c r="D55" s="120"/>
      <c r="E55" s="35" t="s">
        <v>176</v>
      </c>
      <c r="F55" s="64">
        <v>3</v>
      </c>
      <c r="G55" s="98">
        <v>80</v>
      </c>
      <c r="H55" s="35">
        <v>140</v>
      </c>
      <c r="I55" s="40">
        <v>64</v>
      </c>
      <c r="J55" s="38" t="s">
        <v>5542</v>
      </c>
      <c r="K55" s="34">
        <f>K54+250</f>
        <v>23389</v>
      </c>
    </row>
    <row r="57" spans="1:15" s="1" customFormat="1" x14ac:dyDescent="0.2">
      <c r="A57" s="56"/>
      <c r="B57" s="57"/>
      <c r="C57" s="57"/>
      <c r="D57" s="58"/>
      <c r="E57" s="58"/>
      <c r="F57" s="59"/>
      <c r="G57" s="101"/>
      <c r="H57" s="58"/>
      <c r="I57" s="53"/>
      <c r="J57" s="53"/>
      <c r="K57" s="54"/>
    </row>
    <row r="58" spans="1:15" s="1" customFormat="1" ht="16.5" customHeight="1" x14ac:dyDescent="0.2">
      <c r="A58" s="62" t="s">
        <v>6207</v>
      </c>
      <c r="B58" s="62" t="s">
        <v>647</v>
      </c>
      <c r="C58" s="62"/>
      <c r="D58" s="14"/>
      <c r="E58" s="3"/>
      <c r="F58" s="8"/>
      <c r="G58" s="110"/>
      <c r="H58" s="111"/>
      <c r="I58" s="19"/>
      <c r="J58" s="19"/>
      <c r="K58" s="20"/>
    </row>
    <row r="59" spans="1:15" s="1" customFormat="1" ht="15.75" x14ac:dyDescent="0.2">
      <c r="A59" s="48" t="s">
        <v>5571</v>
      </c>
      <c r="B59" s="11"/>
      <c r="C59" s="11"/>
      <c r="D59" s="4"/>
      <c r="E59" s="4"/>
      <c r="F59" s="5"/>
      <c r="G59" s="110"/>
      <c r="H59" s="4"/>
      <c r="I59" s="19"/>
      <c r="J59" s="19"/>
      <c r="K59" s="20"/>
    </row>
    <row r="60" spans="1:15" s="1" customFormat="1" ht="24" x14ac:dyDescent="0.2">
      <c r="A60" s="25" t="s">
        <v>35</v>
      </c>
      <c r="B60" s="140" t="s">
        <v>36</v>
      </c>
      <c r="C60" s="140" t="s">
        <v>1880</v>
      </c>
      <c r="D60" s="333" t="s">
        <v>37</v>
      </c>
      <c r="E60" s="334"/>
      <c r="F60" s="335" t="s">
        <v>38</v>
      </c>
      <c r="G60" s="337"/>
      <c r="H60" s="337" t="s">
        <v>39</v>
      </c>
      <c r="I60" s="336"/>
      <c r="J60" s="42" t="s">
        <v>40</v>
      </c>
      <c r="K60" s="24" t="s">
        <v>41</v>
      </c>
    </row>
    <row r="61" spans="1:15" s="1" customFormat="1" ht="12" x14ac:dyDescent="0.2">
      <c r="A61" s="32"/>
      <c r="B61" s="32"/>
      <c r="C61" s="129"/>
      <c r="D61" s="188" t="s">
        <v>42</v>
      </c>
      <c r="E61" s="188" t="s">
        <v>43</v>
      </c>
      <c r="F61" s="33" t="s">
        <v>44</v>
      </c>
      <c r="G61" s="33" t="s">
        <v>45</v>
      </c>
      <c r="H61" s="33" t="s">
        <v>46</v>
      </c>
      <c r="I61" s="39" t="s">
        <v>47</v>
      </c>
      <c r="J61" s="33"/>
      <c r="K61" s="41"/>
    </row>
    <row r="62" spans="1:15" s="1" customFormat="1" ht="12" x14ac:dyDescent="0.2">
      <c r="A62" s="60" t="s">
        <v>1916</v>
      </c>
      <c r="B62" s="60" t="s">
        <v>841</v>
      </c>
      <c r="C62" s="60" t="s">
        <v>1900</v>
      </c>
      <c r="D62" s="89" t="s">
        <v>50</v>
      </c>
      <c r="E62" s="35" t="s">
        <v>176</v>
      </c>
      <c r="F62" s="64">
        <v>1</v>
      </c>
      <c r="G62" s="98">
        <v>25</v>
      </c>
      <c r="H62" s="35">
        <v>33</v>
      </c>
      <c r="I62" s="40">
        <v>15</v>
      </c>
      <c r="J62" s="38" t="s">
        <v>1917</v>
      </c>
      <c r="K62" s="34">
        <f>IFERROR(_xlfn.XLOOKUP(J62,Index!$A:$A,Index!$B:$B),"")</f>
        <v>6230</v>
      </c>
    </row>
    <row r="63" spans="1:15" s="1" customFormat="1" ht="12" x14ac:dyDescent="0.2">
      <c r="A63" s="26"/>
      <c r="B63" s="26"/>
      <c r="C63" s="26"/>
      <c r="D63" s="30"/>
      <c r="E63" s="35" t="s">
        <v>176</v>
      </c>
      <c r="F63" s="64">
        <v>1.25</v>
      </c>
      <c r="G63" s="98">
        <v>32</v>
      </c>
      <c r="H63" s="35">
        <v>60</v>
      </c>
      <c r="I63" s="40">
        <v>27</v>
      </c>
      <c r="J63" s="38" t="s">
        <v>1918</v>
      </c>
      <c r="K63" s="34">
        <f>IFERROR(_xlfn.XLOOKUP(J63,Index!$A:$A,Index!$B:$B),"")</f>
        <v>9210</v>
      </c>
    </row>
    <row r="64" spans="1:15" x14ac:dyDescent="0.25">
      <c r="A64" s="124"/>
      <c r="B64" s="124"/>
      <c r="C64" s="124"/>
      <c r="D64" s="124"/>
      <c r="E64" s="35" t="s">
        <v>176</v>
      </c>
      <c r="F64" s="64">
        <v>1.5</v>
      </c>
      <c r="G64" s="98">
        <v>40</v>
      </c>
      <c r="H64" s="35">
        <v>62</v>
      </c>
      <c r="I64" s="40">
        <v>28</v>
      </c>
      <c r="J64" s="38" t="s">
        <v>1919</v>
      </c>
      <c r="K64" s="34">
        <f>IFERROR(_xlfn.XLOOKUP(J64,Index!$A:$A,Index!$B:$B),"")</f>
        <v>9210</v>
      </c>
      <c r="L64" s="1"/>
      <c r="M64" s="1"/>
      <c r="N64" s="1"/>
      <c r="O64" s="1"/>
    </row>
    <row r="65" spans="1:17" s="1" customFormat="1" ht="12" x14ac:dyDescent="0.2">
      <c r="A65" s="60" t="s">
        <v>1920</v>
      </c>
      <c r="B65" s="60" t="s">
        <v>841</v>
      </c>
      <c r="C65" s="60" t="s">
        <v>1909</v>
      </c>
      <c r="D65" s="89" t="s">
        <v>50</v>
      </c>
      <c r="E65" s="35" t="s">
        <v>176</v>
      </c>
      <c r="F65" s="64">
        <v>1</v>
      </c>
      <c r="G65" s="98">
        <v>25</v>
      </c>
      <c r="H65" s="35">
        <v>33</v>
      </c>
      <c r="I65" s="40">
        <v>15</v>
      </c>
      <c r="J65" s="38" t="s">
        <v>1921</v>
      </c>
      <c r="K65" s="34">
        <f>IFERROR(_xlfn.XLOOKUP(J65,Index!$A:$A,Index!$B:$B),"")</f>
        <v>10432</v>
      </c>
    </row>
    <row r="66" spans="1:17" s="1" customFormat="1" ht="12" x14ac:dyDescent="0.2">
      <c r="A66" s="26"/>
      <c r="B66" s="26"/>
      <c r="D66" s="30"/>
      <c r="E66" s="35" t="s">
        <v>176</v>
      </c>
      <c r="F66" s="64">
        <v>1.25</v>
      </c>
      <c r="G66" s="98">
        <v>32</v>
      </c>
      <c r="H66" s="35">
        <v>60</v>
      </c>
      <c r="I66" s="40">
        <v>27</v>
      </c>
      <c r="J66" s="38" t="s">
        <v>1922</v>
      </c>
      <c r="K66" s="34">
        <f>IFERROR(_xlfn.XLOOKUP(J66,Index!$A:$A,Index!$B:$B),"")</f>
        <v>10743</v>
      </c>
    </row>
    <row r="67" spans="1:17" x14ac:dyDescent="0.25">
      <c r="A67" s="124"/>
      <c r="B67" s="124"/>
      <c r="C67" s="124"/>
      <c r="D67" s="124"/>
      <c r="E67" s="35" t="s">
        <v>176</v>
      </c>
      <c r="F67" s="64">
        <v>1.5</v>
      </c>
      <c r="G67" s="98">
        <v>40</v>
      </c>
      <c r="H67" s="35">
        <v>62</v>
      </c>
      <c r="I67" s="40">
        <v>28</v>
      </c>
      <c r="J67" s="38" t="s">
        <v>1923</v>
      </c>
      <c r="K67" s="34">
        <f>IFERROR(_xlfn.XLOOKUP(J67,Index!$A:$A,Index!$B:$B),"")</f>
        <v>11573</v>
      </c>
      <c r="L67" s="1"/>
      <c r="M67" s="1"/>
      <c r="N67" s="1"/>
      <c r="O67" s="1"/>
    </row>
    <row r="68" spans="1:17" x14ac:dyDescent="0.25">
      <c r="A68" s="60" t="s">
        <v>6187</v>
      </c>
      <c r="B68" s="60" t="s">
        <v>841</v>
      </c>
      <c r="C68" s="60" t="s">
        <v>1900</v>
      </c>
      <c r="D68" s="89" t="s">
        <v>50</v>
      </c>
      <c r="E68" s="35" t="s">
        <v>176</v>
      </c>
      <c r="F68" s="64">
        <v>2</v>
      </c>
      <c r="G68" s="98">
        <v>50</v>
      </c>
      <c r="H68" s="35">
        <v>100</v>
      </c>
      <c r="I68" s="40">
        <v>45</v>
      </c>
      <c r="J68" s="38" t="s">
        <v>6137</v>
      </c>
      <c r="K68" s="34">
        <f>IFERROR(_xlfn.XLOOKUP(J68,Index!$A:$A,Index!$B:$B),"")</f>
        <v>10987</v>
      </c>
      <c r="L68" s="1"/>
      <c r="M68" s="1"/>
      <c r="N68" s="1"/>
      <c r="O68" s="1"/>
    </row>
    <row r="69" spans="1:17" x14ac:dyDescent="0.25">
      <c r="A69" s="314" t="s">
        <v>6185</v>
      </c>
      <c r="B69" s="124"/>
      <c r="C69" s="124"/>
      <c r="D69" s="124"/>
      <c r="E69" s="35" t="s">
        <v>176</v>
      </c>
      <c r="F69" s="64">
        <v>2.5</v>
      </c>
      <c r="G69" s="98">
        <v>65</v>
      </c>
      <c r="H69" s="35">
        <v>160</v>
      </c>
      <c r="I69" s="40">
        <v>73</v>
      </c>
      <c r="J69" s="38" t="s">
        <v>6139</v>
      </c>
      <c r="K69" s="34">
        <f>IFERROR(_xlfn.XLOOKUP(J69,Index!$A:$A,Index!$B:$B),"")</f>
        <v>17726</v>
      </c>
      <c r="L69" s="1"/>
      <c r="M69" s="1"/>
      <c r="N69" s="1"/>
      <c r="O69" s="1"/>
    </row>
    <row r="70" spans="1:17" x14ac:dyDescent="0.25">
      <c r="A70" s="124"/>
      <c r="B70" s="124"/>
      <c r="C70" s="124"/>
      <c r="D70" s="124"/>
      <c r="E70" s="35" t="s">
        <v>176</v>
      </c>
      <c r="F70" s="64">
        <v>3</v>
      </c>
      <c r="G70" s="98">
        <v>80</v>
      </c>
      <c r="H70" s="35">
        <v>164</v>
      </c>
      <c r="I70" s="40">
        <v>74</v>
      </c>
      <c r="J70" s="38" t="s">
        <v>6141</v>
      </c>
      <c r="K70" s="34">
        <f>IFERROR(_xlfn.XLOOKUP(J70,Index!$A:$A,Index!$B:$B),"")</f>
        <v>19322</v>
      </c>
      <c r="L70" s="1"/>
      <c r="M70" s="1"/>
      <c r="N70" s="1"/>
      <c r="O70" s="1"/>
    </row>
    <row r="71" spans="1:17" x14ac:dyDescent="0.25">
      <c r="A71" s="124"/>
      <c r="B71" s="124"/>
      <c r="C71" s="124"/>
      <c r="D71" s="124"/>
      <c r="E71" s="35" t="s">
        <v>176</v>
      </c>
      <c r="F71" s="64">
        <v>4</v>
      </c>
      <c r="G71" s="98">
        <v>100</v>
      </c>
      <c r="H71" s="35">
        <v>350</v>
      </c>
      <c r="I71" s="40">
        <v>159</v>
      </c>
      <c r="J71" s="38" t="s">
        <v>6143</v>
      </c>
      <c r="K71" s="34">
        <f>IFERROR(_xlfn.XLOOKUP(J71,Index!$A:$A,Index!$B:$B),"")</f>
        <v>23828</v>
      </c>
      <c r="L71" s="1"/>
      <c r="M71" s="1"/>
      <c r="N71" s="1"/>
      <c r="O71" s="1"/>
    </row>
    <row r="72" spans="1:17" x14ac:dyDescent="0.25">
      <c r="A72" s="124"/>
      <c r="B72" s="124"/>
      <c r="C72" s="124"/>
      <c r="D72" s="124"/>
      <c r="E72" s="35" t="s">
        <v>241</v>
      </c>
      <c r="F72" s="64">
        <v>5</v>
      </c>
      <c r="G72" s="98">
        <v>125</v>
      </c>
      <c r="H72" s="35">
        <v>760</v>
      </c>
      <c r="I72" s="40">
        <v>345</v>
      </c>
      <c r="J72" s="38" t="s">
        <v>6145</v>
      </c>
      <c r="K72" s="34">
        <f>IFERROR(_xlfn.XLOOKUP(J72,Index!$A:$A,Index!$B:$B),"")</f>
        <v>44612</v>
      </c>
      <c r="L72" s="1"/>
      <c r="M72" s="1"/>
      <c r="N72" s="1"/>
      <c r="O72" s="1"/>
    </row>
    <row r="73" spans="1:17" x14ac:dyDescent="0.25">
      <c r="A73" s="120"/>
      <c r="B73" s="120"/>
      <c r="C73" s="120"/>
      <c r="D73" s="120"/>
      <c r="E73" s="35" t="s">
        <v>241</v>
      </c>
      <c r="F73" s="64">
        <v>6</v>
      </c>
      <c r="G73" s="98">
        <v>150</v>
      </c>
      <c r="H73" s="35">
        <v>770</v>
      </c>
      <c r="I73" s="40">
        <v>349</v>
      </c>
      <c r="J73" s="38" t="s">
        <v>6184</v>
      </c>
      <c r="K73" s="34">
        <f>IFERROR(_xlfn.XLOOKUP(J73,Index!$A:$A,Index!$B:$B),"")</f>
        <v>44612</v>
      </c>
      <c r="L73" s="1"/>
      <c r="M73" s="1"/>
      <c r="N73" s="1"/>
      <c r="O73" s="1"/>
    </row>
    <row r="74" spans="1:17" x14ac:dyDescent="0.25">
      <c r="A74" s="60" t="s">
        <v>6189</v>
      </c>
      <c r="B74" s="60" t="s">
        <v>841</v>
      </c>
      <c r="C74" s="60" t="s">
        <v>1909</v>
      </c>
      <c r="D74" s="89" t="s">
        <v>50</v>
      </c>
      <c r="E74" s="35" t="s">
        <v>176</v>
      </c>
      <c r="F74" s="64">
        <v>2</v>
      </c>
      <c r="G74" s="98">
        <v>50</v>
      </c>
      <c r="H74" s="35">
        <v>100</v>
      </c>
      <c r="I74" s="40">
        <v>45</v>
      </c>
      <c r="J74" s="38" t="s">
        <v>6148</v>
      </c>
      <c r="K74" s="34">
        <f>IFERROR(_xlfn.XLOOKUP(J74,Index!$A:$A,Index!$B:$B),"")</f>
        <v>14879</v>
      </c>
      <c r="L74" s="1"/>
      <c r="M74" s="1"/>
      <c r="N74" s="1"/>
      <c r="O74" s="1"/>
    </row>
    <row r="75" spans="1:17" x14ac:dyDescent="0.25">
      <c r="A75" s="314" t="s">
        <v>6185</v>
      </c>
      <c r="B75" s="124"/>
      <c r="C75" s="124"/>
      <c r="D75" s="124"/>
      <c r="E75" s="35" t="s">
        <v>176</v>
      </c>
      <c r="F75" s="64">
        <v>2.5</v>
      </c>
      <c r="G75" s="98">
        <v>65</v>
      </c>
      <c r="H75" s="35">
        <v>160</v>
      </c>
      <c r="I75" s="40">
        <v>73</v>
      </c>
      <c r="J75" s="38" t="s">
        <v>6150</v>
      </c>
      <c r="K75" s="34">
        <f>IFERROR(_xlfn.XLOOKUP(J75,Index!$A:$A,Index!$B:$B),"")</f>
        <v>24951</v>
      </c>
      <c r="L75" s="1"/>
      <c r="M75" s="1"/>
      <c r="N75" s="1"/>
      <c r="O75" s="1"/>
    </row>
    <row r="76" spans="1:17" x14ac:dyDescent="0.25">
      <c r="A76" s="124"/>
      <c r="B76" s="124"/>
      <c r="C76" s="124"/>
      <c r="D76" s="124"/>
      <c r="E76" s="35" t="s">
        <v>176</v>
      </c>
      <c r="F76" s="64">
        <v>3</v>
      </c>
      <c r="G76" s="98">
        <v>80</v>
      </c>
      <c r="H76" s="35">
        <v>164</v>
      </c>
      <c r="I76" s="40">
        <v>74</v>
      </c>
      <c r="J76" s="38" t="s">
        <v>6152</v>
      </c>
      <c r="K76" s="34">
        <f>IFERROR(_xlfn.XLOOKUP(J76,Index!$A:$A,Index!$B:$B),"")</f>
        <v>27193</v>
      </c>
      <c r="L76" s="1"/>
      <c r="M76" s="1"/>
      <c r="N76" s="1"/>
      <c r="O76" s="1"/>
    </row>
    <row r="77" spans="1:17" x14ac:dyDescent="0.25">
      <c r="A77" s="124"/>
      <c r="B77" s="124"/>
      <c r="C77" s="124"/>
      <c r="D77" s="124"/>
      <c r="E77" s="35" t="s">
        <v>176</v>
      </c>
      <c r="F77" s="64">
        <v>4</v>
      </c>
      <c r="G77" s="98">
        <v>100</v>
      </c>
      <c r="H77" s="35">
        <v>350</v>
      </c>
      <c r="I77" s="40">
        <v>159</v>
      </c>
      <c r="J77" s="38" t="s">
        <v>6154</v>
      </c>
      <c r="K77" s="34">
        <f>IFERROR(_xlfn.XLOOKUP(J77,Index!$A:$A,Index!$B:$B),"")</f>
        <v>35373</v>
      </c>
      <c r="L77" s="1"/>
      <c r="M77" s="1"/>
      <c r="N77" s="1"/>
      <c r="O77" s="1"/>
    </row>
    <row r="78" spans="1:17" x14ac:dyDescent="0.25">
      <c r="A78" s="124"/>
      <c r="B78" s="124"/>
      <c r="C78" s="124"/>
      <c r="D78" s="124"/>
      <c r="E78" s="35" t="s">
        <v>241</v>
      </c>
      <c r="F78" s="64">
        <v>5</v>
      </c>
      <c r="G78" s="98">
        <v>125</v>
      </c>
      <c r="H78" s="35">
        <v>760</v>
      </c>
      <c r="I78" s="40">
        <v>345</v>
      </c>
      <c r="J78" s="38" t="s">
        <v>6156</v>
      </c>
      <c r="K78" s="34">
        <f>IFERROR(_xlfn.XLOOKUP(J78,Index!$A:$A,Index!$B:$B),"")</f>
        <v>71096</v>
      </c>
      <c r="L78" s="1"/>
      <c r="M78" s="1"/>
      <c r="N78" s="1"/>
      <c r="O78" s="1"/>
      <c r="P78" s="1"/>
      <c r="Q78" s="1"/>
    </row>
    <row r="79" spans="1:17" x14ac:dyDescent="0.25">
      <c r="A79" s="120"/>
      <c r="B79" s="120"/>
      <c r="C79" s="120"/>
      <c r="D79" s="120"/>
      <c r="E79" s="35" t="s">
        <v>241</v>
      </c>
      <c r="F79" s="64">
        <v>6</v>
      </c>
      <c r="G79" s="98">
        <v>150</v>
      </c>
      <c r="H79" s="35">
        <v>770</v>
      </c>
      <c r="I79" s="40">
        <v>349</v>
      </c>
      <c r="J79" s="38" t="s">
        <v>6159</v>
      </c>
      <c r="K79" s="34">
        <f>IFERROR(_xlfn.XLOOKUP(J79,Index!$A:$A,Index!$B:$B),"")</f>
        <v>71096</v>
      </c>
      <c r="L79" s="1"/>
      <c r="M79" s="1"/>
      <c r="N79" s="1"/>
      <c r="O79" s="1"/>
      <c r="P79" s="1"/>
      <c r="Q79" s="1"/>
    </row>
    <row r="80" spans="1:17" x14ac:dyDescent="0.25">
      <c r="L80" s="1"/>
      <c r="M80" s="1"/>
      <c r="N80" s="1"/>
      <c r="O80" s="1"/>
      <c r="P80" s="1"/>
      <c r="Q80" s="1"/>
    </row>
    <row r="81" spans="1:17" s="1" customFormat="1" ht="15.75" x14ac:dyDescent="0.2">
      <c r="A81" s="62" t="s">
        <v>6206</v>
      </c>
      <c r="B81" s="62" t="s">
        <v>647</v>
      </c>
      <c r="C81" s="62"/>
      <c r="D81" s="14"/>
      <c r="E81" s="3"/>
      <c r="F81" s="8"/>
      <c r="G81" s="110"/>
      <c r="H81" s="111"/>
      <c r="I81" s="19"/>
      <c r="J81" s="19"/>
      <c r="K81" s="20"/>
    </row>
    <row r="82" spans="1:17" s="1" customFormat="1" ht="15.75" x14ac:dyDescent="0.2">
      <c r="A82" s="48" t="s">
        <v>5572</v>
      </c>
      <c r="B82" s="11"/>
      <c r="C82" s="11"/>
      <c r="D82" s="4"/>
      <c r="E82" s="4"/>
      <c r="F82" s="5"/>
      <c r="G82" s="110"/>
      <c r="H82" s="4"/>
      <c r="I82" s="19"/>
      <c r="J82" s="19"/>
      <c r="K82" s="20"/>
    </row>
    <row r="83" spans="1:17" s="1" customFormat="1" ht="15.4" customHeight="1" x14ac:dyDescent="0.2">
      <c r="A83" s="25" t="s">
        <v>35</v>
      </c>
      <c r="B83" s="140" t="s">
        <v>36</v>
      </c>
      <c r="C83" s="140" t="s">
        <v>1880</v>
      </c>
      <c r="D83" s="189" t="s">
        <v>1896</v>
      </c>
      <c r="E83" s="333" t="s">
        <v>37</v>
      </c>
      <c r="F83" s="334"/>
      <c r="G83" s="335" t="s">
        <v>38</v>
      </c>
      <c r="H83" s="336"/>
      <c r="I83" s="335" t="s">
        <v>39</v>
      </c>
      <c r="J83" s="336"/>
      <c r="K83" s="42" t="s">
        <v>40</v>
      </c>
      <c r="L83" s="24" t="s">
        <v>3038</v>
      </c>
    </row>
    <row r="84" spans="1:17" s="1" customFormat="1" ht="12" x14ac:dyDescent="0.2">
      <c r="A84" s="32"/>
      <c r="B84" s="32"/>
      <c r="C84" s="129"/>
      <c r="D84" s="188" t="s">
        <v>42</v>
      </c>
      <c r="E84" s="188" t="s">
        <v>42</v>
      </c>
      <c r="F84" s="188" t="s">
        <v>43</v>
      </c>
      <c r="G84" s="33" t="s">
        <v>44</v>
      </c>
      <c r="H84" s="33" t="s">
        <v>45</v>
      </c>
      <c r="I84" s="33" t="s">
        <v>46</v>
      </c>
      <c r="J84" s="39" t="s">
        <v>47</v>
      </c>
      <c r="K84" s="33"/>
      <c r="L84" s="41"/>
    </row>
    <row r="85" spans="1:17" s="1" customFormat="1" ht="12" x14ac:dyDescent="0.2">
      <c r="A85" s="60" t="s">
        <v>6190</v>
      </c>
      <c r="B85" s="60" t="s">
        <v>841</v>
      </c>
      <c r="C85" s="60" t="s">
        <v>1900</v>
      </c>
      <c r="D85" s="89" t="s">
        <v>1897</v>
      </c>
      <c r="E85" s="89" t="s">
        <v>50</v>
      </c>
      <c r="F85" s="35" t="s">
        <v>241</v>
      </c>
      <c r="G85" s="64">
        <v>8</v>
      </c>
      <c r="H85" s="98">
        <v>200</v>
      </c>
      <c r="I85" s="35">
        <v>1606</v>
      </c>
      <c r="J85" s="40">
        <v>728</v>
      </c>
      <c r="K85" s="38" t="s">
        <v>6115</v>
      </c>
      <c r="L85" s="34">
        <f>IFERROR(_xlfn.XLOOKUP(K85,Index!$A:$A,Index!$B:$B),"")</f>
        <v>85047</v>
      </c>
    </row>
    <row r="86" spans="1:17" x14ac:dyDescent="0.25">
      <c r="A86" s="314" t="s">
        <v>6185</v>
      </c>
      <c r="B86" s="124"/>
      <c r="C86" s="124"/>
      <c r="D86" s="124"/>
      <c r="E86" s="124"/>
      <c r="F86" s="35" t="s">
        <v>241</v>
      </c>
      <c r="G86" s="64">
        <v>10</v>
      </c>
      <c r="H86" s="98">
        <v>250</v>
      </c>
      <c r="I86" s="35">
        <v>2245</v>
      </c>
      <c r="J86" s="40">
        <v>1018</v>
      </c>
      <c r="K86" s="38" t="s">
        <v>6117</v>
      </c>
      <c r="L86" s="34">
        <f>IFERROR(_xlfn.XLOOKUP(K86,Index!$A:$A,Index!$B:$B),"")</f>
        <v>116433</v>
      </c>
      <c r="M86" s="1"/>
      <c r="N86" s="1"/>
      <c r="O86" s="1"/>
      <c r="P86" s="1"/>
      <c r="Q86" s="1"/>
    </row>
    <row r="87" spans="1:17" x14ac:dyDescent="0.25">
      <c r="A87" s="124"/>
      <c r="B87" s="124"/>
      <c r="C87" s="124"/>
      <c r="D87" s="124"/>
      <c r="E87" s="124"/>
      <c r="F87" s="35" t="s">
        <v>241</v>
      </c>
      <c r="G87" s="64">
        <v>12</v>
      </c>
      <c r="H87" s="98">
        <v>300</v>
      </c>
      <c r="I87" s="35">
        <v>2845</v>
      </c>
      <c r="J87" s="40">
        <v>1290</v>
      </c>
      <c r="K87" s="38" t="s">
        <v>6119</v>
      </c>
      <c r="L87" s="34">
        <f>IFERROR(_xlfn.XLOOKUP(K87,Index!$A:$A,Index!$B:$B),"")</f>
        <v>116432</v>
      </c>
      <c r="M87" s="1"/>
      <c r="N87" s="1"/>
      <c r="O87" s="1"/>
      <c r="P87" s="1"/>
      <c r="Q87" s="1"/>
    </row>
    <row r="88" spans="1:17" x14ac:dyDescent="0.25">
      <c r="A88" s="124"/>
      <c r="B88" s="124"/>
      <c r="C88" s="124"/>
      <c r="D88" s="124"/>
      <c r="E88" s="124"/>
      <c r="F88" s="35" t="s">
        <v>241</v>
      </c>
      <c r="G88" s="64">
        <v>14</v>
      </c>
      <c r="H88" s="98">
        <v>350</v>
      </c>
      <c r="I88" s="35">
        <v>3652</v>
      </c>
      <c r="J88" s="40">
        <v>1657</v>
      </c>
      <c r="K88" s="38" t="s">
        <v>6121</v>
      </c>
      <c r="L88" s="34">
        <f>IFERROR(_xlfn.XLOOKUP(K88,Index!$A:$A,Index!$B:$B),"")</f>
        <v>172535</v>
      </c>
      <c r="M88" s="1"/>
      <c r="N88" s="1"/>
      <c r="O88" s="1"/>
      <c r="P88" s="1"/>
      <c r="Q88" s="1"/>
    </row>
    <row r="89" spans="1:17" x14ac:dyDescent="0.25">
      <c r="A89" s="124"/>
      <c r="B89" s="124"/>
      <c r="C89" s="124"/>
      <c r="D89" s="124"/>
      <c r="E89" s="124"/>
      <c r="F89" s="35" t="s">
        <v>241</v>
      </c>
      <c r="G89" s="64">
        <v>16</v>
      </c>
      <c r="H89" s="98">
        <v>400</v>
      </c>
      <c r="I89" s="35">
        <v>4400</v>
      </c>
      <c r="J89" s="40">
        <v>2000</v>
      </c>
      <c r="K89" s="38" t="s">
        <v>6123</v>
      </c>
      <c r="L89" s="34">
        <f>IFERROR(_xlfn.XLOOKUP(K89,Index!$A:$A,Index!$B:$B),"")</f>
        <v>192576</v>
      </c>
      <c r="M89" s="1"/>
      <c r="N89" s="1"/>
      <c r="O89" s="1"/>
      <c r="P89" s="1"/>
      <c r="Q89" s="1"/>
    </row>
    <row r="90" spans="1:17" s="1" customFormat="1" ht="12" x14ac:dyDescent="0.2">
      <c r="A90" s="60" t="s">
        <v>1924</v>
      </c>
      <c r="B90" s="60" t="s">
        <v>841</v>
      </c>
      <c r="C90" s="60" t="s">
        <v>1909</v>
      </c>
      <c r="D90" s="89" t="s">
        <v>50</v>
      </c>
      <c r="E90" s="89" t="s">
        <v>50</v>
      </c>
      <c r="F90" s="35" t="s">
        <v>241</v>
      </c>
      <c r="G90" s="64">
        <v>8</v>
      </c>
      <c r="H90" s="98">
        <v>200</v>
      </c>
      <c r="I90" s="35">
        <v>1606</v>
      </c>
      <c r="J90" s="40">
        <v>728</v>
      </c>
      <c r="K90" s="38" t="s">
        <v>1925</v>
      </c>
      <c r="L90" s="34">
        <f>IFERROR(_xlfn.XLOOKUP(K90,Index!$A:$A,Index!$B:$B),"")</f>
        <v>127569</v>
      </c>
    </row>
    <row r="91" spans="1:17" x14ac:dyDescent="0.25">
      <c r="A91" s="124"/>
      <c r="B91" s="124"/>
      <c r="C91" s="124"/>
      <c r="D91" s="124"/>
      <c r="E91" s="124"/>
      <c r="F91" s="35" t="s">
        <v>241</v>
      </c>
      <c r="G91" s="64">
        <v>10</v>
      </c>
      <c r="H91" s="98">
        <v>250</v>
      </c>
      <c r="I91" s="35">
        <v>2245</v>
      </c>
      <c r="J91" s="40">
        <v>1018</v>
      </c>
      <c r="K91" s="38" t="s">
        <v>1926</v>
      </c>
      <c r="L91" s="34">
        <f>IFERROR(_xlfn.XLOOKUP(K91,Index!$A:$A,Index!$B:$B),"")</f>
        <v>174648</v>
      </c>
      <c r="M91" s="1"/>
      <c r="N91" s="1"/>
      <c r="O91" s="1"/>
      <c r="P91" s="1"/>
      <c r="Q91" s="1"/>
    </row>
    <row r="92" spans="1:17" x14ac:dyDescent="0.25">
      <c r="A92" s="124"/>
      <c r="B92" s="124"/>
      <c r="C92" s="124"/>
      <c r="D92" s="124"/>
      <c r="E92" s="124"/>
      <c r="F92" s="35" t="s">
        <v>241</v>
      </c>
      <c r="G92" s="64">
        <v>12</v>
      </c>
      <c r="H92" s="98">
        <v>300</v>
      </c>
      <c r="I92" s="35">
        <v>2845</v>
      </c>
      <c r="J92" s="40">
        <v>1290</v>
      </c>
      <c r="K92" s="38" t="s">
        <v>5542</v>
      </c>
      <c r="L92" s="34">
        <f>L91</f>
        <v>174648</v>
      </c>
      <c r="M92" s="1"/>
      <c r="N92" s="1"/>
      <c r="O92" s="1"/>
      <c r="P92" s="1"/>
      <c r="Q92" s="1"/>
    </row>
    <row r="93" spans="1:17" x14ac:dyDescent="0.25">
      <c r="A93" s="124"/>
      <c r="B93" s="124"/>
      <c r="C93" s="124"/>
      <c r="D93" s="124"/>
      <c r="E93" s="124"/>
      <c r="F93" s="35" t="s">
        <v>241</v>
      </c>
      <c r="G93" s="64">
        <v>14</v>
      </c>
      <c r="H93" s="98">
        <v>350</v>
      </c>
      <c r="I93" s="35">
        <v>3652</v>
      </c>
      <c r="J93" s="40">
        <v>1657</v>
      </c>
      <c r="K93" s="38" t="s">
        <v>5542</v>
      </c>
      <c r="L93" s="34">
        <f>L92+66063</f>
        <v>240711</v>
      </c>
      <c r="M93" s="1"/>
      <c r="N93" s="1"/>
      <c r="O93" s="1"/>
      <c r="P93" s="1"/>
      <c r="Q93" s="1"/>
    </row>
    <row r="94" spans="1:17" x14ac:dyDescent="0.25">
      <c r="A94" s="120"/>
      <c r="B94" s="120"/>
      <c r="C94" s="120"/>
      <c r="D94" s="120"/>
      <c r="E94" s="120"/>
      <c r="F94" s="85" t="s">
        <v>241</v>
      </c>
      <c r="G94" s="64">
        <v>16</v>
      </c>
      <c r="H94" s="98">
        <v>400</v>
      </c>
      <c r="I94" s="35">
        <v>4400</v>
      </c>
      <c r="J94" s="40">
        <v>2000</v>
      </c>
      <c r="K94" s="38" t="s">
        <v>5542</v>
      </c>
      <c r="L94" s="34">
        <f>L93+23599</f>
        <v>264310</v>
      </c>
      <c r="M94" s="1"/>
      <c r="N94" s="1"/>
      <c r="O94" s="1"/>
      <c r="P94" s="1"/>
      <c r="Q94" s="1"/>
    </row>
    <row r="95" spans="1:17" x14ac:dyDescent="0.25">
      <c r="M95" s="1"/>
      <c r="N95" s="1"/>
      <c r="O95" s="1"/>
      <c r="P95" s="1"/>
      <c r="Q95" s="1"/>
    </row>
    <row r="96" spans="1:17" s="1" customFormat="1" ht="15.75" x14ac:dyDescent="0.2">
      <c r="A96" s="62" t="s">
        <v>1927</v>
      </c>
      <c r="B96" s="62" t="s">
        <v>174</v>
      </c>
      <c r="C96" s="62"/>
      <c r="D96" s="14"/>
      <c r="E96" s="3"/>
      <c r="F96" s="8"/>
      <c r="G96" s="110"/>
      <c r="H96" s="111"/>
      <c r="I96" s="19"/>
      <c r="J96" s="19"/>
      <c r="K96" s="20"/>
    </row>
    <row r="97" spans="1:17" s="1" customFormat="1" ht="15.75" x14ac:dyDescent="0.2">
      <c r="A97" s="48" t="s">
        <v>5573</v>
      </c>
      <c r="B97" s="11"/>
      <c r="C97" s="11"/>
      <c r="D97" s="4"/>
      <c r="E97" s="4"/>
      <c r="F97" s="5"/>
      <c r="G97" s="110"/>
      <c r="H97" s="4"/>
      <c r="I97" s="19"/>
      <c r="J97" s="19"/>
      <c r="K97" s="20"/>
    </row>
    <row r="98" spans="1:17" s="1" customFormat="1" ht="24" x14ac:dyDescent="0.2">
      <c r="A98" s="25" t="s">
        <v>35</v>
      </c>
      <c r="B98" s="140" t="s">
        <v>36</v>
      </c>
      <c r="C98" s="140" t="s">
        <v>1880</v>
      </c>
      <c r="D98" s="333" t="s">
        <v>37</v>
      </c>
      <c r="E98" s="334"/>
      <c r="F98" s="335" t="s">
        <v>38</v>
      </c>
      <c r="G98" s="337"/>
      <c r="H98" s="337" t="s">
        <v>39</v>
      </c>
      <c r="I98" s="336"/>
      <c r="J98" s="42" t="s">
        <v>40</v>
      </c>
      <c r="K98" s="24" t="s">
        <v>41</v>
      </c>
    </row>
    <row r="99" spans="1:17" s="1" customFormat="1" ht="12" x14ac:dyDescent="0.2">
      <c r="A99" s="96"/>
      <c r="B99" s="32"/>
      <c r="C99" s="129"/>
      <c r="D99" s="188" t="s">
        <v>42</v>
      </c>
      <c r="E99" s="188" t="s">
        <v>43</v>
      </c>
      <c r="F99" s="33" t="s">
        <v>44</v>
      </c>
      <c r="G99" s="33" t="s">
        <v>45</v>
      </c>
      <c r="H99" s="33" t="s">
        <v>46</v>
      </c>
      <c r="I99" s="39" t="s">
        <v>47</v>
      </c>
      <c r="J99" s="33"/>
      <c r="K99" s="41"/>
    </row>
    <row r="100" spans="1:17" s="1" customFormat="1" ht="12" x14ac:dyDescent="0.2">
      <c r="A100" s="60" t="s">
        <v>1928</v>
      </c>
      <c r="B100" s="60" t="s">
        <v>49</v>
      </c>
      <c r="C100" s="60" t="s">
        <v>1900</v>
      </c>
      <c r="D100" s="89" t="s">
        <v>50</v>
      </c>
      <c r="E100" s="35" t="s">
        <v>176</v>
      </c>
      <c r="F100" s="64">
        <v>0.75</v>
      </c>
      <c r="G100" s="98">
        <v>20</v>
      </c>
      <c r="H100" s="35">
        <v>27</v>
      </c>
      <c r="I100" s="40">
        <v>12.2</v>
      </c>
      <c r="J100" s="38" t="s">
        <v>1929</v>
      </c>
      <c r="K100" s="34">
        <f>IFERROR(_xlfn.XLOOKUP(J100,Index!$A:$A,Index!$B:$B),"")</f>
        <v>4448</v>
      </c>
    </row>
    <row r="101" spans="1:17" x14ac:dyDescent="0.25">
      <c r="A101" s="124"/>
      <c r="B101" s="124"/>
      <c r="C101" s="124"/>
      <c r="D101" s="124"/>
      <c r="E101" s="35" t="s">
        <v>176</v>
      </c>
      <c r="F101" s="64">
        <v>1</v>
      </c>
      <c r="G101" s="98">
        <v>25</v>
      </c>
      <c r="H101" s="35">
        <v>28</v>
      </c>
      <c r="I101" s="40">
        <v>12.7</v>
      </c>
      <c r="J101" s="38" t="s">
        <v>1930</v>
      </c>
      <c r="K101" s="34">
        <f>IFERROR(_xlfn.XLOOKUP(J101,Index!$A:$A,Index!$B:$B),"")</f>
        <v>4448</v>
      </c>
      <c r="L101" s="1"/>
      <c r="M101" s="1"/>
      <c r="N101" s="1"/>
      <c r="O101" s="1"/>
      <c r="P101" s="1"/>
      <c r="Q101" s="1"/>
    </row>
    <row r="102" spans="1:17" x14ac:dyDescent="0.25">
      <c r="A102" s="124"/>
      <c r="B102" s="124"/>
      <c r="C102" s="124"/>
      <c r="D102" s="124"/>
      <c r="E102" s="35" t="s">
        <v>176</v>
      </c>
      <c r="F102" s="64">
        <v>1.25</v>
      </c>
      <c r="G102" s="98">
        <v>32</v>
      </c>
      <c r="H102" s="35">
        <v>70</v>
      </c>
      <c r="I102" s="40">
        <v>32</v>
      </c>
      <c r="J102" s="38" t="s">
        <v>5542</v>
      </c>
      <c r="K102" s="34">
        <f>K101+2144</f>
        <v>6592</v>
      </c>
      <c r="L102" s="1"/>
      <c r="M102" s="1"/>
      <c r="N102" s="1"/>
      <c r="O102" s="1"/>
      <c r="P102" s="1"/>
      <c r="Q102" s="1"/>
    </row>
    <row r="103" spans="1:17" x14ac:dyDescent="0.25">
      <c r="A103" s="124"/>
      <c r="B103" s="124"/>
      <c r="C103" s="124"/>
      <c r="D103" s="124"/>
      <c r="E103" s="35" t="s">
        <v>176</v>
      </c>
      <c r="F103" s="64">
        <v>1.5</v>
      </c>
      <c r="G103" s="98">
        <v>40</v>
      </c>
      <c r="H103" s="35">
        <v>72</v>
      </c>
      <c r="I103" s="40">
        <v>33</v>
      </c>
      <c r="J103" s="38" t="s">
        <v>1931</v>
      </c>
      <c r="K103" s="34">
        <f>IFERROR(_xlfn.XLOOKUP(J103,Index!$A:$A,Index!$B:$B),"")</f>
        <v>7736</v>
      </c>
      <c r="L103" s="1"/>
      <c r="M103" s="1"/>
      <c r="N103" s="1"/>
      <c r="O103" s="1"/>
      <c r="P103" s="1"/>
      <c r="Q103" s="1"/>
    </row>
    <row r="104" spans="1:17" x14ac:dyDescent="0.25">
      <c r="A104" s="124"/>
      <c r="B104" s="124"/>
      <c r="C104" s="124"/>
      <c r="D104" s="124"/>
      <c r="E104" s="35" t="s">
        <v>176</v>
      </c>
      <c r="F104" s="64">
        <v>2</v>
      </c>
      <c r="G104" s="98">
        <v>50</v>
      </c>
      <c r="H104" s="35">
        <v>94</v>
      </c>
      <c r="I104" s="40">
        <v>43</v>
      </c>
      <c r="J104" s="38" t="s">
        <v>1932</v>
      </c>
      <c r="K104" s="34">
        <f>IFERROR(_xlfn.XLOOKUP(J104,Index!$A:$A,Index!$B:$B),"")</f>
        <v>10253</v>
      </c>
      <c r="L104" s="1"/>
      <c r="M104" s="1"/>
      <c r="N104" s="1"/>
      <c r="O104" s="1"/>
      <c r="P104" s="1"/>
      <c r="Q104" s="1"/>
    </row>
    <row r="105" spans="1:17" s="1" customFormat="1" ht="12" x14ac:dyDescent="0.2">
      <c r="A105" s="60" t="s">
        <v>1933</v>
      </c>
      <c r="B105" s="132" t="s">
        <v>49</v>
      </c>
      <c r="C105" s="132" t="s">
        <v>1909</v>
      </c>
      <c r="D105" s="89" t="s">
        <v>50</v>
      </c>
      <c r="E105" s="35" t="s">
        <v>176</v>
      </c>
      <c r="F105" s="64">
        <v>0.75</v>
      </c>
      <c r="G105" s="98">
        <v>20</v>
      </c>
      <c r="H105" s="35">
        <v>27</v>
      </c>
      <c r="I105" s="40">
        <v>12.2</v>
      </c>
      <c r="J105" s="38" t="s">
        <v>1934</v>
      </c>
      <c r="K105" s="34">
        <f>IFERROR(_xlfn.XLOOKUP(J105,Index!$A:$A,Index!$B:$B),"")</f>
        <v>6424</v>
      </c>
    </row>
    <row r="106" spans="1:17" x14ac:dyDescent="0.25">
      <c r="A106" s="124"/>
      <c r="B106" s="133"/>
      <c r="C106" s="133"/>
      <c r="D106" s="124"/>
      <c r="E106" s="35" t="s">
        <v>176</v>
      </c>
      <c r="F106" s="64">
        <v>1</v>
      </c>
      <c r="G106" s="98">
        <v>25</v>
      </c>
      <c r="H106" s="35">
        <v>28</v>
      </c>
      <c r="I106" s="40">
        <v>12.7</v>
      </c>
      <c r="J106" s="38" t="s">
        <v>1935</v>
      </c>
      <c r="K106" s="34">
        <f>IFERROR(_xlfn.XLOOKUP(J106,Index!$A:$A,Index!$B:$B),"")</f>
        <v>6424</v>
      </c>
      <c r="L106" s="1"/>
      <c r="M106" s="1"/>
      <c r="N106" s="1"/>
      <c r="O106" s="1"/>
      <c r="P106" s="1"/>
      <c r="Q106" s="1"/>
    </row>
    <row r="107" spans="1:17" x14ac:dyDescent="0.25">
      <c r="A107" s="124"/>
      <c r="B107" s="133"/>
      <c r="C107" s="133"/>
      <c r="D107" s="124"/>
      <c r="E107" s="35" t="s">
        <v>176</v>
      </c>
      <c r="F107" s="64">
        <v>1.25</v>
      </c>
      <c r="G107" s="98">
        <v>32</v>
      </c>
      <c r="H107" s="35">
        <v>70</v>
      </c>
      <c r="I107" s="40">
        <v>32</v>
      </c>
      <c r="J107" s="38" t="s">
        <v>1936</v>
      </c>
      <c r="K107" s="34">
        <f>IFERROR(_xlfn.XLOOKUP(J107,Index!$A:$A,Index!$B:$B),"")</f>
        <v>9938</v>
      </c>
      <c r="L107" s="1"/>
      <c r="M107" s="1"/>
      <c r="N107" s="1"/>
      <c r="O107" s="1"/>
      <c r="P107" s="1"/>
      <c r="Q107" s="1"/>
    </row>
    <row r="108" spans="1:17" x14ac:dyDescent="0.25">
      <c r="A108" s="124"/>
      <c r="B108" s="133"/>
      <c r="C108" s="133"/>
      <c r="D108" s="124"/>
      <c r="E108" s="35" t="s">
        <v>176</v>
      </c>
      <c r="F108" s="64">
        <v>1.5</v>
      </c>
      <c r="G108" s="98">
        <v>40</v>
      </c>
      <c r="H108" s="35">
        <v>72</v>
      </c>
      <c r="I108" s="40">
        <v>33</v>
      </c>
      <c r="J108" s="38" t="s">
        <v>1937</v>
      </c>
      <c r="K108" s="34">
        <f>IFERROR(_xlfn.XLOOKUP(J108,Index!$A:$A,Index!$B:$B),"")</f>
        <v>9938</v>
      </c>
      <c r="L108" s="1"/>
      <c r="M108" s="1"/>
      <c r="N108" s="1"/>
      <c r="O108" s="1"/>
      <c r="P108" s="1"/>
      <c r="Q108" s="1"/>
    </row>
    <row r="109" spans="1:17" x14ac:dyDescent="0.25">
      <c r="A109" s="120"/>
      <c r="B109" s="126"/>
      <c r="C109" s="126"/>
      <c r="D109" s="120"/>
      <c r="E109" s="35" t="s">
        <v>176</v>
      </c>
      <c r="F109" s="64">
        <v>2</v>
      </c>
      <c r="G109" s="98">
        <v>50</v>
      </c>
      <c r="H109" s="35">
        <v>94</v>
      </c>
      <c r="I109" s="40">
        <v>43</v>
      </c>
      <c r="J109" s="38" t="s">
        <v>1938</v>
      </c>
      <c r="K109" s="34">
        <f>IFERROR(_xlfn.XLOOKUP(J109,Index!$A:$A,Index!$B:$B),"")</f>
        <v>14461</v>
      </c>
      <c r="L109" s="1"/>
      <c r="M109" s="1"/>
      <c r="N109" s="1"/>
      <c r="O109" s="1"/>
      <c r="P109" s="1"/>
      <c r="Q109" s="1"/>
    </row>
    <row r="110" spans="1:17" x14ac:dyDescent="0.25">
      <c r="L110" s="1"/>
      <c r="M110" s="1"/>
      <c r="N110" s="1"/>
      <c r="O110" s="1"/>
      <c r="P110" s="1"/>
      <c r="Q110" s="1"/>
    </row>
    <row r="111" spans="1:17" s="1" customFormat="1" ht="16.5" customHeight="1" x14ac:dyDescent="0.2">
      <c r="A111" s="62" t="s">
        <v>6205</v>
      </c>
      <c r="B111" s="62" t="s">
        <v>174</v>
      </c>
      <c r="C111" s="62"/>
      <c r="D111" s="14"/>
      <c r="E111" s="3"/>
      <c r="F111" s="8"/>
      <c r="G111" s="110"/>
      <c r="H111" s="111"/>
      <c r="I111" s="19"/>
      <c r="J111" s="19"/>
      <c r="K111" s="20"/>
    </row>
    <row r="112" spans="1:17" s="1" customFormat="1" ht="15.75" x14ac:dyDescent="0.2">
      <c r="A112" s="48" t="s">
        <v>1939</v>
      </c>
      <c r="B112" s="11"/>
      <c r="C112" s="11"/>
      <c r="D112" s="4"/>
      <c r="E112" s="4"/>
      <c r="F112" s="5"/>
      <c r="G112" s="110"/>
      <c r="H112" s="4"/>
      <c r="I112" s="19"/>
      <c r="J112" s="19"/>
      <c r="K112" s="20"/>
    </row>
    <row r="113" spans="1:17" s="1" customFormat="1" ht="24" x14ac:dyDescent="0.2">
      <c r="A113" s="25" t="s">
        <v>35</v>
      </c>
      <c r="B113" s="140" t="s">
        <v>36</v>
      </c>
      <c r="C113" s="140" t="s">
        <v>1880</v>
      </c>
      <c r="D113" s="333" t="s">
        <v>37</v>
      </c>
      <c r="E113" s="334"/>
      <c r="F113" s="335" t="s">
        <v>38</v>
      </c>
      <c r="G113" s="337"/>
      <c r="H113" s="337" t="s">
        <v>39</v>
      </c>
      <c r="I113" s="336"/>
      <c r="J113" s="42" t="s">
        <v>40</v>
      </c>
      <c r="K113" s="24" t="s">
        <v>41</v>
      </c>
    </row>
    <row r="114" spans="1:17" s="1" customFormat="1" ht="12" x14ac:dyDescent="0.2">
      <c r="A114" s="32"/>
      <c r="B114" s="32"/>
      <c r="C114" s="129"/>
      <c r="D114" s="188" t="s">
        <v>42</v>
      </c>
      <c r="E114" s="188" t="s">
        <v>43</v>
      </c>
      <c r="F114" s="33" t="s">
        <v>44</v>
      </c>
      <c r="G114" s="33" t="s">
        <v>45</v>
      </c>
      <c r="H114" s="33" t="s">
        <v>46</v>
      </c>
      <c r="I114" s="39" t="s">
        <v>47</v>
      </c>
      <c r="J114" s="33"/>
      <c r="K114" s="41"/>
    </row>
    <row r="115" spans="1:17" s="1" customFormat="1" ht="12" x14ac:dyDescent="0.2">
      <c r="A115" s="60" t="s">
        <v>1940</v>
      </c>
      <c r="B115" s="60" t="s">
        <v>937</v>
      </c>
      <c r="C115" s="60" t="s">
        <v>1900</v>
      </c>
      <c r="D115" s="89" t="s">
        <v>50</v>
      </c>
      <c r="E115" s="35" t="s">
        <v>176</v>
      </c>
      <c r="F115" s="64">
        <v>1</v>
      </c>
      <c r="G115" s="98">
        <v>25</v>
      </c>
      <c r="H115" s="35">
        <v>33</v>
      </c>
      <c r="I115" s="40">
        <v>15</v>
      </c>
      <c r="J115" s="38" t="s">
        <v>1941</v>
      </c>
      <c r="K115" s="34">
        <f>IFERROR(_xlfn.XLOOKUP(J115,Index!$A:$A,Index!$B:$B),"")</f>
        <v>12042</v>
      </c>
    </row>
    <row r="116" spans="1:17" s="1" customFormat="1" ht="12" x14ac:dyDescent="0.2">
      <c r="A116" s="26"/>
      <c r="B116" s="26"/>
      <c r="C116" s="26"/>
      <c r="D116" s="30"/>
      <c r="E116" s="35" t="s">
        <v>176</v>
      </c>
      <c r="F116" s="64">
        <v>1.25</v>
      </c>
      <c r="G116" s="98">
        <v>32</v>
      </c>
      <c r="H116" s="35">
        <v>60</v>
      </c>
      <c r="I116" s="40">
        <v>27</v>
      </c>
      <c r="J116" s="38" t="s">
        <v>5542</v>
      </c>
      <c r="K116" s="34">
        <f>K115+2049</f>
        <v>14091</v>
      </c>
    </row>
    <row r="117" spans="1:17" x14ac:dyDescent="0.25">
      <c r="A117" s="124"/>
      <c r="B117" s="124"/>
      <c r="C117" s="124"/>
      <c r="D117" s="124"/>
      <c r="E117" s="35" t="s">
        <v>176</v>
      </c>
      <c r="F117" s="64">
        <v>1.5</v>
      </c>
      <c r="G117" s="98">
        <v>40</v>
      </c>
      <c r="H117" s="35">
        <v>62</v>
      </c>
      <c r="I117" s="40">
        <v>28</v>
      </c>
      <c r="J117" s="38" t="s">
        <v>1942</v>
      </c>
      <c r="K117" s="34">
        <f>IFERROR(_xlfn.XLOOKUP(J117,Index!$A:$A,Index!$B:$B),"")</f>
        <v>15433</v>
      </c>
      <c r="L117" s="1"/>
      <c r="M117" s="1"/>
      <c r="N117" s="1"/>
      <c r="O117" s="1"/>
      <c r="P117" s="1"/>
      <c r="Q117" s="1"/>
    </row>
    <row r="118" spans="1:17" s="1" customFormat="1" ht="12" x14ac:dyDescent="0.2">
      <c r="A118" s="60" t="s">
        <v>1943</v>
      </c>
      <c r="B118" s="60" t="s">
        <v>937</v>
      </c>
      <c r="C118" s="60" t="s">
        <v>1909</v>
      </c>
      <c r="D118" s="89" t="s">
        <v>50</v>
      </c>
      <c r="E118" s="35" t="s">
        <v>176</v>
      </c>
      <c r="F118" s="64">
        <v>1</v>
      </c>
      <c r="G118" s="98">
        <v>25</v>
      </c>
      <c r="H118" s="35">
        <v>33</v>
      </c>
      <c r="I118" s="40">
        <v>15</v>
      </c>
      <c r="J118" s="38" t="s">
        <v>1944</v>
      </c>
      <c r="K118" s="34">
        <f>IFERROR(_xlfn.XLOOKUP(J118,Index!$A:$A,Index!$B:$B),"")</f>
        <v>12060</v>
      </c>
    </row>
    <row r="119" spans="1:17" s="1" customFormat="1" ht="12" x14ac:dyDescent="0.2">
      <c r="A119" s="26"/>
      <c r="B119" s="26"/>
      <c r="D119" s="30"/>
      <c r="E119" s="35" t="s">
        <v>176</v>
      </c>
      <c r="F119" s="64">
        <v>1.25</v>
      </c>
      <c r="G119" s="98">
        <v>32</v>
      </c>
      <c r="H119" s="35">
        <v>60</v>
      </c>
      <c r="I119" s="40">
        <v>27</v>
      </c>
      <c r="J119" s="38" t="s">
        <v>5542</v>
      </c>
      <c r="K119" s="34">
        <f>K118+2619</f>
        <v>14679</v>
      </c>
    </row>
    <row r="120" spans="1:17" x14ac:dyDescent="0.25">
      <c r="A120" s="124"/>
      <c r="B120" s="124"/>
      <c r="C120" s="124"/>
      <c r="D120" s="124"/>
      <c r="E120" s="35" t="s">
        <v>176</v>
      </c>
      <c r="F120" s="64">
        <v>1.5</v>
      </c>
      <c r="G120" s="98">
        <v>40</v>
      </c>
      <c r="H120" s="35">
        <v>62</v>
      </c>
      <c r="I120" s="40">
        <v>28</v>
      </c>
      <c r="J120" s="38" t="s">
        <v>1945</v>
      </c>
      <c r="K120" s="34">
        <f>IFERROR(_xlfn.XLOOKUP(J120,Index!$A:$A,Index!$B:$B),"")</f>
        <v>15641</v>
      </c>
      <c r="L120" s="1"/>
      <c r="M120" s="1"/>
      <c r="N120" s="1"/>
      <c r="O120" s="1"/>
      <c r="P120" s="1"/>
      <c r="Q120" s="1"/>
    </row>
    <row r="121" spans="1:17" x14ac:dyDescent="0.25">
      <c r="A121" s="60" t="s">
        <v>6188</v>
      </c>
      <c r="B121" s="60" t="s">
        <v>937</v>
      </c>
      <c r="C121" s="60" t="s">
        <v>1900</v>
      </c>
      <c r="D121" s="89" t="s">
        <v>50</v>
      </c>
      <c r="E121" s="35" t="s">
        <v>176</v>
      </c>
      <c r="F121" s="64">
        <v>2</v>
      </c>
      <c r="G121" s="98">
        <v>50</v>
      </c>
      <c r="H121" s="35">
        <v>100</v>
      </c>
      <c r="I121" s="40">
        <v>45</v>
      </c>
      <c r="J121" s="38" t="s">
        <v>6160</v>
      </c>
      <c r="K121" s="34">
        <f>IFERROR(_xlfn.XLOOKUP(J121,Index!$A:$A,Index!$B:$B),"")</f>
        <v>16946</v>
      </c>
      <c r="L121" s="1"/>
      <c r="M121" s="1"/>
      <c r="N121" s="1"/>
      <c r="O121" s="1"/>
      <c r="P121" s="1"/>
      <c r="Q121" s="1"/>
    </row>
    <row r="122" spans="1:17" x14ac:dyDescent="0.25">
      <c r="A122" s="314" t="s">
        <v>6185</v>
      </c>
      <c r="B122" s="124"/>
      <c r="C122" s="124"/>
      <c r="D122" s="124"/>
      <c r="E122" s="35" t="s">
        <v>176</v>
      </c>
      <c r="F122" s="64">
        <v>2.5</v>
      </c>
      <c r="G122" s="98">
        <v>65</v>
      </c>
      <c r="H122" s="35">
        <v>160</v>
      </c>
      <c r="I122" s="40">
        <v>73</v>
      </c>
      <c r="J122" s="38" t="s">
        <v>6162</v>
      </c>
      <c r="K122" s="34">
        <f>IFERROR(_xlfn.XLOOKUP(J122,Index!$A:$A,Index!$B:$B),"")</f>
        <v>23545</v>
      </c>
      <c r="L122" s="1"/>
      <c r="M122" s="1"/>
      <c r="N122" s="1"/>
      <c r="O122" s="1"/>
      <c r="P122" s="1"/>
      <c r="Q122" s="1"/>
    </row>
    <row r="123" spans="1:17" x14ac:dyDescent="0.25">
      <c r="A123" s="124"/>
      <c r="B123" s="124"/>
      <c r="C123" s="124"/>
      <c r="D123" s="124"/>
      <c r="E123" s="35" t="s">
        <v>176</v>
      </c>
      <c r="F123" s="64">
        <v>3</v>
      </c>
      <c r="G123" s="98">
        <v>80</v>
      </c>
      <c r="H123" s="35">
        <v>164</v>
      </c>
      <c r="I123" s="40">
        <v>74</v>
      </c>
      <c r="J123" s="38" t="s">
        <v>6165</v>
      </c>
      <c r="K123" s="34">
        <f>IFERROR(_xlfn.XLOOKUP(J123,Index!$A:$A,Index!$B:$B),"")</f>
        <v>24878</v>
      </c>
      <c r="L123" s="1"/>
      <c r="M123" s="1"/>
      <c r="N123" s="1"/>
      <c r="O123" s="1"/>
      <c r="P123" s="1"/>
      <c r="Q123" s="1"/>
    </row>
    <row r="124" spans="1:17" x14ac:dyDescent="0.25">
      <c r="A124" s="124"/>
      <c r="B124" s="124"/>
      <c r="C124" s="124"/>
      <c r="D124" s="124"/>
      <c r="E124" s="35" t="s">
        <v>176</v>
      </c>
      <c r="F124" s="64">
        <v>4</v>
      </c>
      <c r="G124" s="98">
        <v>100</v>
      </c>
      <c r="H124" s="35">
        <v>350</v>
      </c>
      <c r="I124" s="40">
        <v>159</v>
      </c>
      <c r="J124" s="38" t="s">
        <v>6166</v>
      </c>
      <c r="K124" s="34">
        <f>IFERROR(_xlfn.XLOOKUP(J124,Index!$A:$A,Index!$B:$B),"")</f>
        <v>32583</v>
      </c>
      <c r="L124" s="1"/>
      <c r="M124" s="1"/>
      <c r="N124" s="1"/>
      <c r="O124" s="1"/>
      <c r="P124" s="1"/>
      <c r="Q124" s="1"/>
    </row>
    <row r="125" spans="1:17" x14ac:dyDescent="0.25">
      <c r="A125" s="124"/>
      <c r="B125" s="124"/>
      <c r="C125" s="124"/>
      <c r="D125" s="124"/>
      <c r="E125" s="35" t="s">
        <v>241</v>
      </c>
      <c r="F125" s="64">
        <v>5</v>
      </c>
      <c r="G125" s="98">
        <v>125</v>
      </c>
      <c r="H125" s="35">
        <v>760</v>
      </c>
      <c r="I125" s="40">
        <v>345</v>
      </c>
      <c r="J125" s="38" t="s">
        <v>6168</v>
      </c>
      <c r="K125" s="34">
        <f>IFERROR(_xlfn.XLOOKUP(J125,Index!$A:$A,Index!$B:$B),"")</f>
        <v>58643</v>
      </c>
      <c r="L125" s="1"/>
      <c r="M125" s="1"/>
      <c r="N125" s="1"/>
      <c r="O125" s="1"/>
      <c r="P125" s="1"/>
      <c r="Q125" s="1"/>
    </row>
    <row r="126" spans="1:17" x14ac:dyDescent="0.25">
      <c r="A126" s="120"/>
      <c r="B126" s="120"/>
      <c r="C126" s="120"/>
      <c r="D126" s="120"/>
      <c r="E126" s="35" t="s">
        <v>241</v>
      </c>
      <c r="F126" s="64">
        <v>6</v>
      </c>
      <c r="G126" s="98">
        <v>150</v>
      </c>
      <c r="H126" s="35">
        <v>770</v>
      </c>
      <c r="I126" s="40">
        <v>349</v>
      </c>
      <c r="J126" s="38" t="s">
        <v>6170</v>
      </c>
      <c r="K126" s="34">
        <f>IFERROR(_xlfn.XLOOKUP(J126,Index!$A:$A,Index!$B:$B),"")</f>
        <v>58643</v>
      </c>
      <c r="L126" s="1"/>
      <c r="M126" s="1"/>
      <c r="N126" s="1"/>
      <c r="O126" s="1"/>
      <c r="P126" s="1"/>
      <c r="Q126" s="1"/>
    </row>
    <row r="127" spans="1:17" x14ac:dyDescent="0.25">
      <c r="A127" s="60" t="s">
        <v>6191</v>
      </c>
      <c r="B127" s="60" t="s">
        <v>937</v>
      </c>
      <c r="C127" s="60" t="s">
        <v>1909</v>
      </c>
      <c r="D127" s="89" t="s">
        <v>50</v>
      </c>
      <c r="E127" s="35" t="s">
        <v>176</v>
      </c>
      <c r="F127" s="64">
        <v>2</v>
      </c>
      <c r="G127" s="98">
        <v>50</v>
      </c>
      <c r="H127" s="35">
        <v>100</v>
      </c>
      <c r="I127" s="40">
        <v>45</v>
      </c>
      <c r="J127" s="38" t="s">
        <v>6172</v>
      </c>
      <c r="K127" s="34">
        <f>IFERROR(_xlfn.XLOOKUP(J127,Index!$A:$A,Index!$B:$B),"")</f>
        <v>19312</v>
      </c>
      <c r="L127" s="1"/>
      <c r="M127" s="1"/>
      <c r="N127" s="1"/>
      <c r="O127" s="1"/>
      <c r="P127" s="1"/>
      <c r="Q127" s="1"/>
    </row>
    <row r="128" spans="1:17" x14ac:dyDescent="0.25">
      <c r="A128" s="314" t="s">
        <v>6185</v>
      </c>
      <c r="B128" s="124"/>
      <c r="C128" s="124"/>
      <c r="D128" s="124"/>
      <c r="E128" s="35" t="s">
        <v>176</v>
      </c>
      <c r="F128" s="64">
        <v>2.5</v>
      </c>
      <c r="G128" s="98">
        <v>65</v>
      </c>
      <c r="H128" s="35">
        <v>160</v>
      </c>
      <c r="I128" s="40">
        <v>73</v>
      </c>
      <c r="J128" s="38" t="s">
        <v>6174</v>
      </c>
      <c r="K128" s="34">
        <f>IFERROR(_xlfn.XLOOKUP(J128,Index!$A:$A,Index!$B:$B),"")</f>
        <v>28623</v>
      </c>
      <c r="L128" s="1"/>
      <c r="M128" s="1"/>
      <c r="N128" s="1"/>
      <c r="O128" s="1"/>
      <c r="P128" s="1"/>
      <c r="Q128" s="1"/>
    </row>
    <row r="129" spans="1:17" x14ac:dyDescent="0.25">
      <c r="A129" s="124"/>
      <c r="B129" s="124"/>
      <c r="C129" s="124"/>
      <c r="D129" s="124"/>
      <c r="E129" s="35" t="s">
        <v>176</v>
      </c>
      <c r="F129" s="64">
        <v>3</v>
      </c>
      <c r="G129" s="98">
        <v>80</v>
      </c>
      <c r="H129" s="35">
        <v>164</v>
      </c>
      <c r="I129" s="40">
        <v>74</v>
      </c>
      <c r="J129" s="38" t="s">
        <v>6176</v>
      </c>
      <c r="K129" s="34">
        <f>IFERROR(_xlfn.XLOOKUP(J129,Index!$A:$A,Index!$B:$B),"")</f>
        <v>31804</v>
      </c>
      <c r="L129" s="1"/>
      <c r="M129" s="1"/>
      <c r="N129" s="1"/>
      <c r="O129" s="1"/>
      <c r="P129" s="1"/>
      <c r="Q129" s="1"/>
    </row>
    <row r="130" spans="1:17" x14ac:dyDescent="0.25">
      <c r="A130" s="124"/>
      <c r="B130" s="124"/>
      <c r="C130" s="124"/>
      <c r="D130" s="124"/>
      <c r="E130" s="35" t="s">
        <v>176</v>
      </c>
      <c r="F130" s="64">
        <v>4</v>
      </c>
      <c r="G130" s="98">
        <v>100</v>
      </c>
      <c r="H130" s="35">
        <v>350</v>
      </c>
      <c r="I130" s="40">
        <v>159</v>
      </c>
      <c r="J130" s="38" t="s">
        <v>6178</v>
      </c>
      <c r="K130" s="34">
        <f>IFERROR(_xlfn.XLOOKUP(J130,Index!$A:$A,Index!$B:$B),"")</f>
        <v>38820</v>
      </c>
      <c r="L130" s="1"/>
      <c r="M130" s="1"/>
      <c r="N130" s="1"/>
      <c r="O130" s="1"/>
      <c r="P130" s="1"/>
      <c r="Q130" s="1"/>
    </row>
    <row r="131" spans="1:17" x14ac:dyDescent="0.25">
      <c r="A131" s="124"/>
      <c r="B131" s="124"/>
      <c r="C131" s="124"/>
      <c r="D131" s="124"/>
      <c r="E131" s="35" t="s">
        <v>241</v>
      </c>
      <c r="F131" s="64">
        <v>5</v>
      </c>
      <c r="G131" s="98">
        <v>125</v>
      </c>
      <c r="H131" s="35">
        <v>760</v>
      </c>
      <c r="I131" s="40">
        <v>345</v>
      </c>
      <c r="J131" s="38" t="s">
        <v>6180</v>
      </c>
      <c r="K131" s="34">
        <f>IFERROR(_xlfn.XLOOKUP(J131,Index!$A:$A,Index!$B:$B),"")</f>
        <v>68649</v>
      </c>
      <c r="L131" s="1"/>
      <c r="M131" s="1"/>
      <c r="N131" s="1"/>
      <c r="O131" s="1"/>
      <c r="P131" s="1"/>
      <c r="Q131" s="1"/>
    </row>
    <row r="132" spans="1:17" x14ac:dyDescent="0.25">
      <c r="A132" s="120"/>
      <c r="B132" s="120"/>
      <c r="C132" s="120"/>
      <c r="D132" s="120"/>
      <c r="E132" s="35" t="s">
        <v>241</v>
      </c>
      <c r="F132" s="64">
        <v>6</v>
      </c>
      <c r="G132" s="98">
        <v>150</v>
      </c>
      <c r="H132" s="35">
        <v>770</v>
      </c>
      <c r="I132" s="40">
        <v>349</v>
      </c>
      <c r="J132" s="38" t="s">
        <v>6182</v>
      </c>
      <c r="K132" s="34">
        <f>IFERROR(_xlfn.XLOOKUP(J132,Index!$A:$A,Index!$B:$B),"")</f>
        <v>68649</v>
      </c>
      <c r="L132" s="1"/>
      <c r="M132" s="1"/>
      <c r="N132" s="1"/>
      <c r="O132" s="1"/>
      <c r="P132" s="1"/>
      <c r="Q132" s="1"/>
    </row>
    <row r="133" spans="1:17" x14ac:dyDescent="0.25">
      <c r="E133" s="4"/>
      <c r="F133" s="80"/>
      <c r="G133" s="142"/>
      <c r="H133" s="4"/>
      <c r="I133" s="19"/>
      <c r="J133" s="19"/>
      <c r="K133" s="84"/>
      <c r="L133" s="1"/>
      <c r="M133" s="1"/>
      <c r="N133" s="1"/>
      <c r="O133" s="1"/>
      <c r="P133" s="1"/>
      <c r="Q133" s="1"/>
    </row>
    <row r="134" spans="1:17" ht="15.75" x14ac:dyDescent="0.25">
      <c r="A134" s="62" t="s">
        <v>6192</v>
      </c>
      <c r="B134" s="270" t="s">
        <v>6204</v>
      </c>
      <c r="C134" s="4"/>
      <c r="D134" s="49"/>
      <c r="E134" s="50"/>
      <c r="F134" s="80"/>
      <c r="G134" s="142"/>
      <c r="H134" s="4"/>
      <c r="I134" s="19"/>
      <c r="J134" s="19"/>
      <c r="K134" s="84"/>
      <c r="L134" s="1"/>
      <c r="M134" s="1"/>
      <c r="N134" s="1"/>
      <c r="O134" s="1"/>
      <c r="P134" s="1"/>
      <c r="Q134" s="1"/>
    </row>
    <row r="135" spans="1:17" ht="15.75" x14ac:dyDescent="0.25">
      <c r="A135" s="48" t="s">
        <v>6193</v>
      </c>
      <c r="B135" s="217"/>
      <c r="C135" s="58"/>
      <c r="D135" s="58"/>
      <c r="E135" s="59"/>
      <c r="F135" s="80"/>
      <c r="G135" s="142"/>
      <c r="H135" s="4"/>
      <c r="I135" s="19"/>
      <c r="J135" s="19"/>
      <c r="K135" s="84"/>
      <c r="L135" s="1"/>
      <c r="M135" s="1"/>
      <c r="N135" s="1"/>
      <c r="O135" s="1"/>
      <c r="P135" s="1"/>
      <c r="Q135" s="1"/>
    </row>
    <row r="136" spans="1:17" ht="24" x14ac:dyDescent="0.25">
      <c r="A136" s="315" t="s">
        <v>6194</v>
      </c>
      <c r="B136" s="28" t="s">
        <v>6195</v>
      </c>
      <c r="C136" s="189" t="s">
        <v>6196</v>
      </c>
      <c r="D136" s="42" t="s">
        <v>40</v>
      </c>
      <c r="E136" s="43" t="s">
        <v>41</v>
      </c>
      <c r="F136" s="80"/>
      <c r="G136" s="142"/>
      <c r="H136" s="4"/>
      <c r="I136" s="19"/>
      <c r="J136" s="19"/>
      <c r="K136" s="84"/>
      <c r="L136" s="1"/>
      <c r="M136" s="1"/>
      <c r="N136" s="1"/>
      <c r="O136" s="1"/>
      <c r="P136" s="1"/>
      <c r="Q136" s="1"/>
    </row>
    <row r="137" spans="1:17" x14ac:dyDescent="0.25">
      <c r="A137" s="32"/>
      <c r="B137" s="32"/>
      <c r="C137" s="33"/>
      <c r="D137" s="33"/>
      <c r="E137" s="44"/>
      <c r="F137" s="80"/>
      <c r="G137" s="142"/>
      <c r="H137" s="4"/>
      <c r="I137" s="19"/>
      <c r="J137" s="19"/>
      <c r="K137" s="84"/>
      <c r="L137" s="1"/>
      <c r="M137" s="1"/>
      <c r="N137" s="1"/>
      <c r="O137" s="1"/>
      <c r="P137" s="1"/>
      <c r="Q137" s="1"/>
    </row>
    <row r="138" spans="1:17" x14ac:dyDescent="0.25">
      <c r="A138" s="215" t="s">
        <v>6197</v>
      </c>
      <c r="B138" s="215" t="s">
        <v>6198</v>
      </c>
      <c r="C138" s="35" t="s">
        <v>6199</v>
      </c>
      <c r="D138" s="38" t="s">
        <v>6065</v>
      </c>
      <c r="E138" s="34">
        <f>IFERROR(_xlfn.XLOOKUP(D138,Index!$A:$A,Index!$B:$B),"")</f>
        <v>1501</v>
      </c>
      <c r="F138" s="80"/>
      <c r="G138" s="142"/>
      <c r="H138" s="4"/>
      <c r="I138" s="19"/>
      <c r="J138" s="19"/>
      <c r="K138" s="84"/>
      <c r="L138" s="1"/>
      <c r="M138" s="1"/>
      <c r="N138" s="1"/>
      <c r="O138" s="1"/>
      <c r="P138" s="1"/>
      <c r="Q138" s="1"/>
    </row>
    <row r="139" spans="1:17" x14ac:dyDescent="0.25">
      <c r="A139" s="215" t="s">
        <v>6197</v>
      </c>
      <c r="B139" s="215" t="s">
        <v>6200</v>
      </c>
      <c r="C139" s="35" t="s">
        <v>6199</v>
      </c>
      <c r="D139" s="38" t="s">
        <v>6066</v>
      </c>
      <c r="E139" s="34">
        <f>IFERROR(_xlfn.XLOOKUP(D139,Index!$A:$A,Index!$B:$B),"")</f>
        <v>1501</v>
      </c>
      <c r="F139" s="80"/>
      <c r="G139" s="142"/>
      <c r="H139" s="4"/>
      <c r="I139" s="19"/>
      <c r="J139" s="19"/>
      <c r="K139" s="84"/>
      <c r="L139" s="1"/>
      <c r="M139" s="1"/>
      <c r="N139" s="1"/>
      <c r="O139" s="1"/>
      <c r="P139" s="1"/>
      <c r="Q139" s="1"/>
    </row>
    <row r="140" spans="1:17" x14ac:dyDescent="0.25">
      <c r="A140" s="215" t="s">
        <v>6201</v>
      </c>
      <c r="B140" s="215" t="s">
        <v>6198</v>
      </c>
      <c r="C140" s="35" t="s">
        <v>6199</v>
      </c>
      <c r="D140" s="38" t="s">
        <v>6067</v>
      </c>
      <c r="E140" s="34">
        <f>IFERROR(_xlfn.XLOOKUP(D140,Index!$A:$A,Index!$B:$B),"")</f>
        <v>2251</v>
      </c>
      <c r="L140" s="1"/>
      <c r="M140" s="1"/>
      <c r="N140" s="1"/>
      <c r="O140" s="1"/>
      <c r="P140" s="1"/>
      <c r="Q140" s="1"/>
    </row>
    <row r="141" spans="1:17" x14ac:dyDescent="0.25">
      <c r="A141" s="215" t="s">
        <v>6201</v>
      </c>
      <c r="B141" s="215" t="s">
        <v>6200</v>
      </c>
      <c r="C141" s="35" t="s">
        <v>6199</v>
      </c>
      <c r="D141" s="38" t="s">
        <v>6068</v>
      </c>
      <c r="E141" s="34">
        <f>IFERROR(_xlfn.XLOOKUP(D141,Index!$A:$A,Index!$B:$B),"")</f>
        <v>2251</v>
      </c>
      <c r="L141" s="1"/>
      <c r="M141" s="1"/>
      <c r="N141" s="1"/>
      <c r="O141" s="1"/>
      <c r="P141" s="1"/>
      <c r="Q141" s="1"/>
    </row>
    <row r="142" spans="1:17" x14ac:dyDescent="0.25">
      <c r="A142" s="215" t="s">
        <v>6202</v>
      </c>
      <c r="B142" s="215" t="s">
        <v>6198</v>
      </c>
      <c r="C142" s="35" t="s">
        <v>6203</v>
      </c>
      <c r="D142" s="38" t="s">
        <v>6069</v>
      </c>
      <c r="E142" s="34">
        <f>IFERROR(_xlfn.XLOOKUP(D142,Index!$A:$A,Index!$B:$B),"")</f>
        <v>750.5</v>
      </c>
      <c r="L142" s="1"/>
      <c r="M142" s="1"/>
      <c r="N142" s="1"/>
      <c r="O142" s="1"/>
      <c r="P142" s="1"/>
      <c r="Q142" s="1"/>
    </row>
    <row r="143" spans="1:17" x14ac:dyDescent="0.25">
      <c r="A143" s="215" t="s">
        <v>6202</v>
      </c>
      <c r="B143" s="215" t="s">
        <v>6200</v>
      </c>
      <c r="C143" s="35" t="s">
        <v>6203</v>
      </c>
      <c r="D143" s="38" t="s">
        <v>6070</v>
      </c>
      <c r="E143" s="34">
        <f>IFERROR(_xlfn.XLOOKUP(D143,Index!$A:$A,Index!$B:$B),"")</f>
        <v>938</v>
      </c>
      <c r="L143" s="1"/>
      <c r="M143" s="1"/>
      <c r="N143" s="1"/>
      <c r="O143" s="1"/>
      <c r="P143" s="1"/>
      <c r="Q143" s="1"/>
    </row>
    <row r="144" spans="1:17" x14ac:dyDescent="0.25">
      <c r="L144" s="1"/>
      <c r="M144" s="1"/>
      <c r="N144" s="1"/>
      <c r="O144" s="1"/>
      <c r="P144" s="1"/>
      <c r="Q144" s="1"/>
    </row>
    <row r="145" spans="1:17" ht="15.75" x14ac:dyDescent="0.25">
      <c r="A145" s="217" t="s">
        <v>1946</v>
      </c>
      <c r="B145" s="57"/>
      <c r="D145" s="49"/>
      <c r="E145" s="50"/>
      <c r="F145" s="10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x14ac:dyDescent="0.25">
      <c r="A146" s="48" t="s">
        <v>1947</v>
      </c>
      <c r="B146" s="57"/>
      <c r="C146" s="58"/>
      <c r="D146" s="58"/>
      <c r="E146" s="59"/>
      <c r="F146" s="10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4" x14ac:dyDescent="0.25">
      <c r="A147" s="25" t="s">
        <v>35</v>
      </c>
      <c r="B147" s="28" t="s">
        <v>103</v>
      </c>
      <c r="C147" s="335" t="s">
        <v>38</v>
      </c>
      <c r="D147" s="335"/>
      <c r="E147" s="42" t="s">
        <v>40</v>
      </c>
      <c r="F147" s="43" t="s">
        <v>41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32"/>
      <c r="B148" s="32"/>
      <c r="C148" s="33" t="s">
        <v>44</v>
      </c>
      <c r="D148" s="33" t="s">
        <v>45</v>
      </c>
      <c r="E148" s="33"/>
      <c r="F148" s="4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60" t="s">
        <v>1948</v>
      </c>
      <c r="B149" s="60" t="s">
        <v>1949</v>
      </c>
      <c r="C149" s="64">
        <v>0.75</v>
      </c>
      <c r="D149" s="38">
        <v>25</v>
      </c>
      <c r="E149" s="35" t="s">
        <v>1950</v>
      </c>
      <c r="F149" s="34">
        <f>IFERROR(_xlfn.XLOOKUP(E149,Index!$A:$A,Index!$B:$B),"")</f>
        <v>166.5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24"/>
      <c r="B150" s="26" t="s">
        <v>1951</v>
      </c>
      <c r="C150" s="125">
        <v>1</v>
      </c>
      <c r="D150" s="98">
        <v>25</v>
      </c>
      <c r="E150" s="35" t="s">
        <v>1950</v>
      </c>
      <c r="F150" s="34">
        <f>IFERROR(_xlfn.XLOOKUP(E150,Index!$A:$A,Index!$B:$B),"")</f>
        <v>166.5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24"/>
      <c r="B151" s="124"/>
      <c r="C151" s="64">
        <v>1.25</v>
      </c>
      <c r="D151" s="98">
        <v>32</v>
      </c>
      <c r="E151" s="35" t="s">
        <v>1952</v>
      </c>
      <c r="F151" s="34">
        <f>IFERROR(_xlfn.XLOOKUP(E151,Index!$A:$A,Index!$B:$B),"")</f>
        <v>217</v>
      </c>
      <c r="G151" s="1"/>
      <c r="H151" s="1"/>
      <c r="I151" s="1"/>
      <c r="J151" s="1"/>
      <c r="K151" s="1"/>
    </row>
    <row r="152" spans="1:17" x14ac:dyDescent="0.25">
      <c r="A152" s="124"/>
      <c r="B152" s="124"/>
      <c r="C152" s="64">
        <v>1.5</v>
      </c>
      <c r="D152" s="98">
        <v>40</v>
      </c>
      <c r="E152" s="35" t="s">
        <v>1952</v>
      </c>
      <c r="F152" s="34">
        <f>IFERROR(_xlfn.XLOOKUP(E152,Index!$A:$A,Index!$B:$B),"")</f>
        <v>217</v>
      </c>
      <c r="G152" s="1"/>
      <c r="H152" s="1"/>
      <c r="I152" s="1"/>
      <c r="J152" s="1"/>
      <c r="K152" s="1"/>
    </row>
    <row r="153" spans="1:17" x14ac:dyDescent="0.25">
      <c r="A153" s="124"/>
      <c r="B153" s="124"/>
      <c r="C153" s="64">
        <v>2</v>
      </c>
      <c r="D153" s="98">
        <v>50</v>
      </c>
      <c r="E153" s="35" t="s">
        <v>1953</v>
      </c>
      <c r="F153" s="34">
        <f>IFERROR(_xlfn.XLOOKUP(E153,Index!$A:$A,Index!$B:$B),"")</f>
        <v>382.5</v>
      </c>
      <c r="G153" s="1"/>
      <c r="H153" s="1"/>
      <c r="I153" s="1"/>
      <c r="J153" s="1"/>
      <c r="K153" s="1"/>
    </row>
    <row r="154" spans="1:17" x14ac:dyDescent="0.25">
      <c r="A154" s="124"/>
      <c r="B154" s="124"/>
      <c r="C154" s="64">
        <v>2.5</v>
      </c>
      <c r="D154" s="98">
        <v>65</v>
      </c>
      <c r="E154" s="35" t="s">
        <v>1954</v>
      </c>
      <c r="F154" s="34">
        <f>IFERROR(_xlfn.XLOOKUP(E154,Index!$A:$A,Index!$B:$B),"")</f>
        <v>831</v>
      </c>
      <c r="G154" s="1"/>
      <c r="H154" s="1"/>
      <c r="I154" s="1"/>
      <c r="J154" s="1"/>
      <c r="K154" s="1"/>
    </row>
    <row r="155" spans="1:17" x14ac:dyDescent="0.25">
      <c r="A155" s="124"/>
      <c r="B155" s="124"/>
      <c r="C155" s="64">
        <v>3</v>
      </c>
      <c r="D155" s="98">
        <v>80</v>
      </c>
      <c r="E155" s="35" t="s">
        <v>1954</v>
      </c>
      <c r="F155" s="34">
        <f>IFERROR(_xlfn.XLOOKUP(E155,Index!$A:$A,Index!$B:$B),"")</f>
        <v>831</v>
      </c>
      <c r="G155" s="1"/>
      <c r="H155" s="1"/>
      <c r="I155" s="1"/>
      <c r="J155" s="1"/>
      <c r="K155" s="1"/>
    </row>
    <row r="156" spans="1:17" x14ac:dyDescent="0.25">
      <c r="A156" s="124"/>
      <c r="B156" s="124"/>
      <c r="C156" s="64">
        <v>4</v>
      </c>
      <c r="D156" s="98">
        <v>100</v>
      </c>
      <c r="E156" s="35" t="s">
        <v>1955</v>
      </c>
      <c r="F156" s="34">
        <f>IFERROR(_xlfn.XLOOKUP(E156,Index!$A:$A,Index!$B:$B),"")</f>
        <v>1288</v>
      </c>
      <c r="G156" s="1"/>
      <c r="H156" s="1"/>
      <c r="I156" s="1"/>
      <c r="J156" s="1"/>
      <c r="K156" s="1"/>
    </row>
    <row r="157" spans="1:17" x14ac:dyDescent="0.25">
      <c r="A157" s="124"/>
      <c r="B157" s="124"/>
      <c r="C157" s="64">
        <v>5</v>
      </c>
      <c r="D157" s="98">
        <v>125</v>
      </c>
      <c r="E157" s="35" t="s">
        <v>1956</v>
      </c>
      <c r="F157" s="34">
        <f>IFERROR(_xlfn.XLOOKUP(E157,Index!$A:$A,Index!$B:$B),"")</f>
        <v>1662</v>
      </c>
      <c r="G157" s="1"/>
      <c r="H157" s="1"/>
      <c r="I157" s="1"/>
      <c r="J157" s="1"/>
      <c r="K157" s="1"/>
    </row>
    <row r="158" spans="1:17" x14ac:dyDescent="0.25">
      <c r="A158" s="124"/>
      <c r="B158" s="124"/>
      <c r="C158" s="64">
        <v>6</v>
      </c>
      <c r="D158" s="98">
        <v>150</v>
      </c>
      <c r="E158" s="35" t="s">
        <v>1956</v>
      </c>
      <c r="F158" s="34">
        <f>IFERROR(_xlfn.XLOOKUP(E158,Index!$A:$A,Index!$B:$B),"")</f>
        <v>1662</v>
      </c>
      <c r="G158" s="1"/>
      <c r="H158" s="1"/>
      <c r="I158" s="1"/>
      <c r="J158" s="1"/>
      <c r="K158" s="1"/>
    </row>
    <row r="159" spans="1:17" x14ac:dyDescent="0.25">
      <c r="A159" s="124"/>
      <c r="B159" s="124"/>
      <c r="C159" s="64">
        <v>8</v>
      </c>
      <c r="D159" s="98">
        <v>200</v>
      </c>
      <c r="E159" s="35" t="s">
        <v>1957</v>
      </c>
      <c r="F159" s="34">
        <f>IFERROR(_xlfn.XLOOKUP(E159,Index!$A:$A,Index!$B:$B),"")</f>
        <v>2078</v>
      </c>
      <c r="G159" s="1"/>
      <c r="H159" s="1"/>
      <c r="I159" s="1"/>
      <c r="J159" s="1"/>
      <c r="K159" s="1"/>
    </row>
    <row r="160" spans="1:17" x14ac:dyDescent="0.25">
      <c r="A160" s="124"/>
      <c r="B160" s="124"/>
      <c r="C160" s="64">
        <v>10</v>
      </c>
      <c r="D160" s="98">
        <v>250</v>
      </c>
      <c r="E160" s="35" t="s">
        <v>1958</v>
      </c>
      <c r="F160" s="34">
        <f>IFERROR(_xlfn.XLOOKUP(E160,Index!$A:$A,Index!$B:$B),"")</f>
        <v>2078</v>
      </c>
      <c r="G160" s="1"/>
      <c r="H160" s="1"/>
      <c r="I160" s="1"/>
      <c r="J160" s="1"/>
      <c r="K160" s="1"/>
    </row>
    <row r="161" spans="1:11" x14ac:dyDescent="0.25">
      <c r="A161" s="124"/>
      <c r="B161" s="124"/>
      <c r="C161" s="64">
        <v>12</v>
      </c>
      <c r="D161" s="98">
        <v>300</v>
      </c>
      <c r="E161" s="35" t="s">
        <v>1959</v>
      </c>
      <c r="F161" s="34">
        <f>IFERROR(_xlfn.XLOOKUP(E161,Index!$A:$A,Index!$B:$B),"")</f>
        <v>2492</v>
      </c>
      <c r="G161" s="1"/>
      <c r="H161" s="1"/>
      <c r="I161" s="1"/>
      <c r="J161" s="1"/>
      <c r="K161" s="1"/>
    </row>
    <row r="162" spans="1:11" x14ac:dyDescent="0.25">
      <c r="A162" s="124"/>
      <c r="B162" s="124"/>
      <c r="C162" s="64">
        <v>14</v>
      </c>
      <c r="D162" s="98">
        <v>350</v>
      </c>
      <c r="E162" s="35" t="s">
        <v>1960</v>
      </c>
      <c r="F162" s="34">
        <f>IFERROR(_xlfn.XLOOKUP(E162,Index!$A:$A,Index!$B:$B),"")</f>
        <v>2492</v>
      </c>
      <c r="G162" s="1"/>
      <c r="H162" s="1"/>
      <c r="I162" s="1"/>
      <c r="J162" s="1"/>
      <c r="K162" s="1"/>
    </row>
    <row r="163" spans="1:11" x14ac:dyDescent="0.25">
      <c r="A163" s="133"/>
      <c r="B163" s="126"/>
      <c r="C163" s="64">
        <v>16</v>
      </c>
      <c r="D163" s="98">
        <v>400</v>
      </c>
      <c r="E163" s="35" t="s">
        <v>1961</v>
      </c>
      <c r="F163" s="34">
        <f>IFERROR(_xlfn.XLOOKUP(E163,Index!$A:$A,Index!$B:$B),"")</f>
        <v>2492</v>
      </c>
      <c r="G163" s="1"/>
      <c r="H163" s="1"/>
      <c r="I163" s="1"/>
      <c r="J163" s="1"/>
      <c r="K163" s="1"/>
    </row>
    <row r="164" spans="1:11" x14ac:dyDescent="0.25">
      <c r="B164" s="60" t="s">
        <v>1962</v>
      </c>
      <c r="C164" s="64">
        <v>0.75</v>
      </c>
      <c r="D164" s="38">
        <v>25</v>
      </c>
      <c r="E164" s="35" t="s">
        <v>1963</v>
      </c>
      <c r="F164" s="34">
        <f>IFERROR(_xlfn.XLOOKUP(E164,Index!$A:$A,Index!$B:$B),"")</f>
        <v>250</v>
      </c>
      <c r="G164" s="1"/>
      <c r="H164" s="1"/>
      <c r="I164" s="1"/>
      <c r="J164" s="1"/>
      <c r="K164" s="1"/>
    </row>
    <row r="165" spans="1:11" x14ac:dyDescent="0.25">
      <c r="B165" s="26" t="s">
        <v>1964</v>
      </c>
      <c r="C165" s="125">
        <v>1</v>
      </c>
      <c r="D165" s="98">
        <v>25</v>
      </c>
      <c r="E165" s="35" t="s">
        <v>1963</v>
      </c>
      <c r="F165" s="34">
        <f>IFERROR(_xlfn.XLOOKUP(E165,Index!$A:$A,Index!$B:$B),"")</f>
        <v>250</v>
      </c>
      <c r="G165" s="1"/>
      <c r="H165" s="1"/>
      <c r="I165" s="1"/>
      <c r="J165" s="1"/>
      <c r="K165" s="1"/>
    </row>
    <row r="166" spans="1:11" x14ac:dyDescent="0.25">
      <c r="B166" s="124"/>
      <c r="C166" s="64">
        <v>1.25</v>
      </c>
      <c r="D166" s="98">
        <v>32</v>
      </c>
      <c r="E166" s="35" t="s">
        <v>1963</v>
      </c>
      <c r="F166" s="34">
        <f>IFERROR(_xlfn.XLOOKUP(E166,Index!$A:$A,Index!$B:$B),"")</f>
        <v>250</v>
      </c>
      <c r="G166" s="1"/>
      <c r="H166" s="1"/>
      <c r="I166" s="1"/>
      <c r="J166" s="1"/>
      <c r="K166" s="1"/>
    </row>
    <row r="167" spans="1:11" x14ac:dyDescent="0.25">
      <c r="B167" s="124"/>
      <c r="C167" s="64">
        <v>1.5</v>
      </c>
      <c r="D167" s="98">
        <v>40</v>
      </c>
      <c r="E167" s="35" t="s">
        <v>1963</v>
      </c>
      <c r="F167" s="34">
        <f>IFERROR(_xlfn.XLOOKUP(E167,Index!$A:$A,Index!$B:$B),"")</f>
        <v>250</v>
      </c>
      <c r="G167" s="1"/>
      <c r="H167" s="1"/>
      <c r="I167" s="1"/>
      <c r="J167" s="1"/>
      <c r="K167" s="1"/>
    </row>
    <row r="168" spans="1:11" x14ac:dyDescent="0.25">
      <c r="B168" s="124"/>
      <c r="C168" s="64">
        <v>2</v>
      </c>
      <c r="D168" s="98">
        <v>50</v>
      </c>
      <c r="E168" s="35" t="s">
        <v>1965</v>
      </c>
      <c r="F168" s="34">
        <f>IFERROR(_xlfn.XLOOKUP(E168,Index!$A:$A,Index!$B:$B),"")</f>
        <v>291.5</v>
      </c>
      <c r="G168" s="1"/>
      <c r="H168" s="1"/>
      <c r="I168" s="1"/>
      <c r="J168" s="1"/>
      <c r="K168" s="1"/>
    </row>
    <row r="169" spans="1:11" x14ac:dyDescent="0.25">
      <c r="B169" s="124"/>
      <c r="C169" s="64">
        <v>2.5</v>
      </c>
      <c r="D169" s="98">
        <v>65</v>
      </c>
      <c r="E169" s="35" t="s">
        <v>1965</v>
      </c>
      <c r="F169" s="34">
        <f>IFERROR(_xlfn.XLOOKUP(E169,Index!$A:$A,Index!$B:$B),"")</f>
        <v>291.5</v>
      </c>
      <c r="G169" s="1"/>
      <c r="H169" s="1"/>
      <c r="I169" s="1"/>
      <c r="J169" s="1"/>
      <c r="K169" s="1"/>
    </row>
    <row r="170" spans="1:11" x14ac:dyDescent="0.25">
      <c r="B170" s="124"/>
      <c r="C170" s="64">
        <v>3</v>
      </c>
      <c r="D170" s="98">
        <v>80</v>
      </c>
      <c r="E170" s="35" t="s">
        <v>1965</v>
      </c>
      <c r="F170" s="34">
        <f>IFERROR(_xlfn.XLOOKUP(E170,Index!$A:$A,Index!$B:$B),"")</f>
        <v>291.5</v>
      </c>
      <c r="G170" s="1"/>
      <c r="H170" s="1"/>
      <c r="I170" s="1"/>
      <c r="J170" s="1"/>
      <c r="K170" s="1"/>
    </row>
    <row r="171" spans="1:11" x14ac:dyDescent="0.25">
      <c r="B171" s="124"/>
      <c r="C171" s="64">
        <v>4</v>
      </c>
      <c r="D171" s="98">
        <v>100</v>
      </c>
      <c r="E171" s="35" t="s">
        <v>1966</v>
      </c>
      <c r="F171" s="34">
        <f>IFERROR(_xlfn.XLOOKUP(E171,Index!$A:$A,Index!$B:$B),"")</f>
        <v>416</v>
      </c>
      <c r="G171" s="1"/>
      <c r="H171" s="1"/>
      <c r="I171" s="1"/>
      <c r="J171" s="1"/>
      <c r="K171" s="1"/>
    </row>
    <row r="172" spans="1:11" x14ac:dyDescent="0.25">
      <c r="B172" s="124"/>
      <c r="C172" s="64">
        <v>5</v>
      </c>
      <c r="D172" s="98">
        <v>125</v>
      </c>
      <c r="E172" s="35" t="s">
        <v>1966</v>
      </c>
      <c r="F172" s="34">
        <f>IFERROR(_xlfn.XLOOKUP(E172,Index!$A:$A,Index!$B:$B),"")</f>
        <v>416</v>
      </c>
      <c r="G172" s="1"/>
      <c r="H172" s="1"/>
      <c r="I172" s="1"/>
      <c r="J172" s="1"/>
      <c r="K172" s="1"/>
    </row>
    <row r="173" spans="1:11" x14ac:dyDescent="0.25">
      <c r="B173" s="124"/>
      <c r="C173" s="64">
        <v>6</v>
      </c>
      <c r="D173" s="98">
        <v>150</v>
      </c>
      <c r="E173" s="35" t="s">
        <v>1966</v>
      </c>
      <c r="F173" s="34">
        <f>IFERROR(_xlfn.XLOOKUP(E173,Index!$A:$A,Index!$B:$B),"")</f>
        <v>416</v>
      </c>
      <c r="G173" s="1"/>
      <c r="H173" s="1"/>
      <c r="I173" s="1"/>
      <c r="J173" s="1"/>
      <c r="K173" s="1"/>
    </row>
    <row r="174" spans="1:11" x14ac:dyDescent="0.25">
      <c r="B174" s="124"/>
      <c r="C174" s="64">
        <v>8</v>
      </c>
      <c r="D174" s="98">
        <v>200</v>
      </c>
      <c r="E174" s="35" t="s">
        <v>1967</v>
      </c>
      <c r="F174" s="34">
        <f>IFERROR(_xlfn.XLOOKUP(E174,Index!$A:$A,Index!$B:$B),"")</f>
        <v>914</v>
      </c>
      <c r="G174" s="1"/>
      <c r="H174" s="1"/>
      <c r="I174" s="1"/>
      <c r="J174" s="1"/>
      <c r="K174" s="1"/>
    </row>
    <row r="175" spans="1:11" x14ac:dyDescent="0.25">
      <c r="B175" s="124"/>
      <c r="C175" s="64">
        <v>10</v>
      </c>
      <c r="D175" s="98">
        <v>250</v>
      </c>
      <c r="E175" s="252" t="s">
        <v>1968</v>
      </c>
      <c r="F175" s="34">
        <f>IFERROR(_xlfn.XLOOKUP(E175,Index!$A:$A,Index!$B:$B),"")</f>
        <v>2492</v>
      </c>
      <c r="G175" s="1"/>
      <c r="H175" s="1"/>
      <c r="I175" s="1"/>
      <c r="J175" s="1"/>
      <c r="K175" s="1"/>
    </row>
    <row r="176" spans="1:11" x14ac:dyDescent="0.25">
      <c r="B176" s="124"/>
      <c r="C176" s="64">
        <v>12</v>
      </c>
      <c r="D176" s="98">
        <v>300</v>
      </c>
      <c r="E176" s="35" t="s">
        <v>1969</v>
      </c>
      <c r="F176" s="34">
        <f>IFERROR(_xlfn.XLOOKUP(E176,Index!$A:$A,Index!$B:$B),"")</f>
        <v>2492</v>
      </c>
      <c r="G176" s="1"/>
      <c r="H176" s="1"/>
      <c r="I176" s="1"/>
      <c r="J176" s="1"/>
      <c r="K176" s="1"/>
    </row>
    <row r="177" spans="2:11" x14ac:dyDescent="0.25">
      <c r="B177" s="124"/>
      <c r="C177" s="64">
        <v>14</v>
      </c>
      <c r="D177" s="98">
        <v>350</v>
      </c>
      <c r="E177" s="35" t="s">
        <v>1970</v>
      </c>
      <c r="F177" s="34">
        <f>IFERROR(_xlfn.XLOOKUP(E177,Index!$A:$A,Index!$B:$B),"")</f>
        <v>2492</v>
      </c>
      <c r="G177" s="1"/>
      <c r="H177" s="1"/>
      <c r="I177" s="1"/>
      <c r="J177" s="1"/>
      <c r="K177" s="1"/>
    </row>
    <row r="178" spans="2:11" x14ac:dyDescent="0.25">
      <c r="B178" s="120"/>
      <c r="C178" s="64">
        <v>16</v>
      </c>
      <c r="D178" s="98">
        <v>400</v>
      </c>
      <c r="E178" s="35" t="s">
        <v>1971</v>
      </c>
      <c r="F178" s="34">
        <f>IFERROR(_xlfn.XLOOKUP(E178,Index!$A:$A,Index!$B:$B),"")</f>
        <v>2908</v>
      </c>
      <c r="G178" s="1"/>
      <c r="H178" s="1"/>
      <c r="I178" s="1"/>
      <c r="J178" s="1"/>
      <c r="K178" s="1"/>
    </row>
    <row r="179" spans="2:11" x14ac:dyDescent="0.25">
      <c r="B179" s="60" t="s">
        <v>1972</v>
      </c>
      <c r="C179" s="64">
        <v>0.75</v>
      </c>
      <c r="D179" s="38">
        <v>25</v>
      </c>
      <c r="E179" s="35" t="s">
        <v>1973</v>
      </c>
      <c r="F179" s="34">
        <f>IFERROR(_xlfn.XLOOKUP(E179,Index!$A:$A,Index!$B:$B),"")</f>
        <v>250</v>
      </c>
      <c r="G179" s="1"/>
      <c r="H179" s="1"/>
      <c r="I179" s="1"/>
      <c r="J179" s="1"/>
      <c r="K179" s="1"/>
    </row>
    <row r="180" spans="2:11" x14ac:dyDescent="0.25">
      <c r="B180" s="26" t="s">
        <v>1964</v>
      </c>
      <c r="C180" s="125">
        <v>1</v>
      </c>
      <c r="D180" s="98">
        <v>25</v>
      </c>
      <c r="E180" s="35" t="s">
        <v>1973</v>
      </c>
      <c r="F180" s="34">
        <f>IFERROR(_xlfn.XLOOKUP(E180,Index!$A:$A,Index!$B:$B),"")</f>
        <v>250</v>
      </c>
      <c r="G180" s="1"/>
      <c r="H180" s="1"/>
      <c r="I180" s="1"/>
      <c r="J180" s="1"/>
      <c r="K180" s="1"/>
    </row>
    <row r="181" spans="2:11" x14ac:dyDescent="0.25">
      <c r="B181" s="124"/>
      <c r="C181" s="64">
        <v>1.25</v>
      </c>
      <c r="D181" s="98">
        <v>32</v>
      </c>
      <c r="E181" s="35" t="s">
        <v>1973</v>
      </c>
      <c r="F181" s="34">
        <f>IFERROR(_xlfn.XLOOKUP(E181,Index!$A:$A,Index!$B:$B),"")</f>
        <v>250</v>
      </c>
      <c r="G181" s="1"/>
      <c r="H181" s="1"/>
      <c r="I181" s="1"/>
      <c r="J181" s="1"/>
      <c r="K181" s="1"/>
    </row>
    <row r="182" spans="2:11" x14ac:dyDescent="0.25">
      <c r="B182" s="124"/>
      <c r="C182" s="64">
        <v>1.5</v>
      </c>
      <c r="D182" s="98">
        <v>40</v>
      </c>
      <c r="E182" s="35" t="s">
        <v>1974</v>
      </c>
      <c r="F182" s="34">
        <f>IFERROR(_xlfn.XLOOKUP(E182,Index!$A:$A,Index!$B:$B),"")</f>
        <v>250</v>
      </c>
      <c r="G182" s="1"/>
      <c r="H182" s="1"/>
      <c r="I182" s="1"/>
      <c r="J182" s="1"/>
      <c r="K182" s="1"/>
    </row>
    <row r="183" spans="2:11" x14ac:dyDescent="0.25">
      <c r="B183" s="124"/>
      <c r="C183" s="64">
        <v>2</v>
      </c>
      <c r="D183" s="98">
        <v>50</v>
      </c>
      <c r="E183" s="35" t="s">
        <v>1975</v>
      </c>
      <c r="F183" s="34">
        <f>IFERROR(_xlfn.XLOOKUP(E183,Index!$A:$A,Index!$B:$B),"")</f>
        <v>291.5</v>
      </c>
      <c r="G183" s="1"/>
      <c r="H183" s="1"/>
      <c r="I183" s="1"/>
      <c r="J183" s="1"/>
      <c r="K183" s="1"/>
    </row>
    <row r="184" spans="2:11" x14ac:dyDescent="0.25">
      <c r="B184" s="124"/>
      <c r="C184" s="64">
        <v>2.5</v>
      </c>
      <c r="D184" s="98">
        <v>65</v>
      </c>
      <c r="E184" s="35" t="s">
        <v>1976</v>
      </c>
      <c r="F184" s="34">
        <f>IFERROR(_xlfn.XLOOKUP(E184,Index!$A:$A,Index!$B:$B),"")</f>
        <v>291.5</v>
      </c>
      <c r="G184" s="1"/>
      <c r="H184" s="1"/>
      <c r="I184" s="1"/>
      <c r="J184" s="1"/>
      <c r="K184" s="1"/>
    </row>
    <row r="185" spans="2:11" x14ac:dyDescent="0.25">
      <c r="B185" s="124"/>
      <c r="C185" s="64">
        <v>3</v>
      </c>
      <c r="D185" s="98">
        <v>80</v>
      </c>
      <c r="E185" s="35" t="s">
        <v>1976</v>
      </c>
      <c r="F185" s="34">
        <f>IFERROR(_xlfn.XLOOKUP(E185,Index!$A:$A,Index!$B:$B),"")</f>
        <v>291.5</v>
      </c>
      <c r="G185" s="1"/>
      <c r="H185" s="1"/>
      <c r="I185" s="1"/>
      <c r="J185" s="1"/>
      <c r="K185" s="1"/>
    </row>
    <row r="186" spans="2:11" x14ac:dyDescent="0.25">
      <c r="B186" s="124"/>
      <c r="C186" s="64">
        <v>4</v>
      </c>
      <c r="D186" s="98">
        <v>100</v>
      </c>
      <c r="E186" s="35" t="s">
        <v>1977</v>
      </c>
      <c r="F186" s="34">
        <f>IFERROR(_xlfn.XLOOKUP(E186,Index!$A:$A,Index!$B:$B),"")</f>
        <v>416</v>
      </c>
      <c r="G186" s="1"/>
      <c r="H186" s="1"/>
      <c r="I186" s="1"/>
      <c r="J186" s="1"/>
      <c r="K186" s="1"/>
    </row>
    <row r="187" spans="2:11" x14ac:dyDescent="0.25">
      <c r="B187" s="124"/>
      <c r="C187" s="64">
        <v>5</v>
      </c>
      <c r="D187" s="98">
        <v>125</v>
      </c>
      <c r="E187" s="35" t="s">
        <v>1978</v>
      </c>
      <c r="F187" s="34">
        <f>IFERROR(_xlfn.XLOOKUP(E187,Index!$A:$A,Index!$B:$B),"")</f>
        <v>416</v>
      </c>
      <c r="G187" s="1"/>
      <c r="H187" s="1"/>
      <c r="I187" s="1"/>
      <c r="J187" s="1"/>
      <c r="K187" s="1"/>
    </row>
    <row r="188" spans="2:11" x14ac:dyDescent="0.25">
      <c r="B188" s="124"/>
      <c r="C188" s="64">
        <v>6</v>
      </c>
      <c r="D188" s="98">
        <v>150</v>
      </c>
      <c r="E188" s="35" t="s">
        <v>1978</v>
      </c>
      <c r="F188" s="34">
        <f>IFERROR(_xlfn.XLOOKUP(E188,Index!$A:$A,Index!$B:$B),"")</f>
        <v>416</v>
      </c>
      <c r="G188" s="1"/>
      <c r="H188" s="1"/>
      <c r="I188" s="1"/>
      <c r="J188" s="1"/>
      <c r="K188" s="1"/>
    </row>
    <row r="189" spans="2:11" x14ac:dyDescent="0.25">
      <c r="B189" s="124"/>
      <c r="C189" s="64">
        <v>8</v>
      </c>
      <c r="D189" s="98">
        <v>200</v>
      </c>
      <c r="E189" s="35" t="s">
        <v>1979</v>
      </c>
      <c r="F189" s="34">
        <f>IFERROR(_xlfn.XLOOKUP(E189,Index!$A:$A,Index!$B:$B),"")</f>
        <v>914</v>
      </c>
      <c r="G189" s="1"/>
      <c r="H189" s="1"/>
      <c r="I189" s="1"/>
      <c r="J189" s="1"/>
      <c r="K189" s="1"/>
    </row>
    <row r="190" spans="2:11" x14ac:dyDescent="0.25">
      <c r="B190" s="124"/>
      <c r="C190" s="64">
        <v>10</v>
      </c>
      <c r="D190" s="98">
        <v>250</v>
      </c>
      <c r="E190" s="35" t="s">
        <v>1980</v>
      </c>
      <c r="F190" s="34">
        <f>IFERROR(_xlfn.XLOOKUP(E190,Index!$A:$A,Index!$B:$B),"")</f>
        <v>2492</v>
      </c>
      <c r="G190" s="1"/>
      <c r="H190" s="1"/>
      <c r="I190" s="1"/>
      <c r="J190" s="1"/>
      <c r="K190" s="1"/>
    </row>
    <row r="191" spans="2:11" x14ac:dyDescent="0.25">
      <c r="B191" s="124"/>
      <c r="C191" s="64">
        <v>12</v>
      </c>
      <c r="D191" s="98">
        <v>300</v>
      </c>
      <c r="E191" s="35" t="s">
        <v>1981</v>
      </c>
      <c r="F191" s="34">
        <f>IFERROR(_xlfn.XLOOKUP(E191,Index!$A:$A,Index!$B:$B),"")</f>
        <v>2492</v>
      </c>
      <c r="G191" s="1"/>
      <c r="H191" s="1"/>
      <c r="I191" s="1"/>
      <c r="J191" s="1"/>
      <c r="K191" s="1"/>
    </row>
    <row r="192" spans="2:11" x14ac:dyDescent="0.25">
      <c r="B192" s="124"/>
      <c r="C192" s="64">
        <v>14</v>
      </c>
      <c r="D192" s="98">
        <v>350</v>
      </c>
      <c r="E192" s="35" t="s">
        <v>1982</v>
      </c>
      <c r="F192" s="34">
        <f>IFERROR(_xlfn.XLOOKUP(E192,Index!$A:$A,Index!$B:$B),"")</f>
        <v>2492</v>
      </c>
      <c r="G192" s="1"/>
      <c r="H192" s="1"/>
      <c r="I192" s="1"/>
      <c r="J192" s="1"/>
      <c r="K192" s="1"/>
    </row>
    <row r="193" spans="2:11" x14ac:dyDescent="0.25">
      <c r="B193" s="120"/>
      <c r="C193" s="64">
        <v>16</v>
      </c>
      <c r="D193" s="98">
        <v>400</v>
      </c>
      <c r="E193" s="35" t="s">
        <v>1983</v>
      </c>
      <c r="F193" s="34">
        <f>IFERROR(_xlfn.XLOOKUP(E193,Index!$A:$A,Index!$B:$B),"")</f>
        <v>2908</v>
      </c>
      <c r="G193" s="1"/>
      <c r="H193" s="1"/>
      <c r="I193" s="1"/>
      <c r="J193" s="1"/>
      <c r="K193" s="1"/>
    </row>
    <row r="194" spans="2:11" x14ac:dyDescent="0.25">
      <c r="B194" s="60" t="s">
        <v>1984</v>
      </c>
      <c r="C194" s="64">
        <v>0.75</v>
      </c>
      <c r="D194" s="38">
        <v>25</v>
      </c>
      <c r="E194" s="35" t="s">
        <v>1985</v>
      </c>
      <c r="F194" s="34">
        <f>IFERROR(_xlfn.XLOOKUP(E194,Index!$A:$A,Index!$B:$B),"")</f>
        <v>166.5</v>
      </c>
      <c r="G194" s="1"/>
      <c r="H194" s="1"/>
      <c r="I194" s="1"/>
      <c r="J194" s="1"/>
      <c r="K194" s="1"/>
    </row>
    <row r="195" spans="2:11" x14ac:dyDescent="0.25">
      <c r="B195" s="26" t="s">
        <v>1964</v>
      </c>
      <c r="C195" s="125">
        <v>1</v>
      </c>
      <c r="D195" s="98">
        <v>25</v>
      </c>
      <c r="E195" s="35" t="s">
        <v>1985</v>
      </c>
      <c r="F195" s="34">
        <f>IFERROR(_xlfn.XLOOKUP(E195,Index!$A:$A,Index!$B:$B),"")</f>
        <v>166.5</v>
      </c>
      <c r="G195" s="1"/>
      <c r="H195" s="1"/>
      <c r="I195" s="1"/>
      <c r="J195" s="1"/>
      <c r="K195" s="1"/>
    </row>
    <row r="196" spans="2:11" x14ac:dyDescent="0.25">
      <c r="B196" s="124"/>
      <c r="C196" s="64">
        <v>1.25</v>
      </c>
      <c r="D196" s="98">
        <v>32</v>
      </c>
      <c r="E196" s="35" t="s">
        <v>1985</v>
      </c>
      <c r="F196" s="34">
        <f>IFERROR(_xlfn.XLOOKUP(E196,Index!$A:$A,Index!$B:$B),"")</f>
        <v>166.5</v>
      </c>
      <c r="G196" s="1"/>
      <c r="H196" s="1"/>
      <c r="I196" s="1"/>
      <c r="J196" s="1"/>
      <c r="K196" s="1"/>
    </row>
    <row r="197" spans="2:11" x14ac:dyDescent="0.25">
      <c r="B197" s="124"/>
      <c r="C197" s="64">
        <v>1.5</v>
      </c>
      <c r="D197" s="98">
        <v>40</v>
      </c>
      <c r="E197" s="35" t="s">
        <v>1985</v>
      </c>
      <c r="F197" s="34">
        <f>IFERROR(_xlfn.XLOOKUP(E197,Index!$A:$A,Index!$B:$B),"")</f>
        <v>166.5</v>
      </c>
      <c r="G197" s="1"/>
      <c r="H197" s="1"/>
      <c r="I197" s="1"/>
      <c r="J197" s="1"/>
      <c r="K197" s="1"/>
    </row>
    <row r="198" spans="2:11" x14ac:dyDescent="0.25">
      <c r="B198" s="124"/>
      <c r="C198" s="64">
        <v>2</v>
      </c>
      <c r="D198" s="98">
        <v>50</v>
      </c>
      <c r="E198" s="35" t="s">
        <v>1986</v>
      </c>
      <c r="F198" s="34">
        <f>IFERROR(_xlfn.XLOOKUP(E198,Index!$A:$A,Index!$B:$B),"")</f>
        <v>250</v>
      </c>
      <c r="G198" s="1"/>
      <c r="H198" s="1"/>
      <c r="I198" s="1"/>
      <c r="J198" s="1"/>
      <c r="K198" s="1"/>
    </row>
    <row r="199" spans="2:11" x14ac:dyDescent="0.25">
      <c r="B199" s="124"/>
      <c r="C199" s="64">
        <v>2.5</v>
      </c>
      <c r="D199" s="98">
        <v>65</v>
      </c>
      <c r="E199" s="35" t="s">
        <v>1986</v>
      </c>
      <c r="F199" s="34">
        <f>IFERROR(_xlfn.XLOOKUP(E199,Index!$A:$A,Index!$B:$B),"")</f>
        <v>250</v>
      </c>
      <c r="G199" s="1"/>
      <c r="H199" s="1"/>
      <c r="I199" s="1"/>
      <c r="J199" s="1"/>
      <c r="K199" s="1"/>
    </row>
    <row r="200" spans="2:11" x14ac:dyDescent="0.25">
      <c r="B200" s="124"/>
      <c r="C200" s="64">
        <v>3</v>
      </c>
      <c r="D200" s="98">
        <v>80</v>
      </c>
      <c r="E200" s="35" t="s">
        <v>1986</v>
      </c>
      <c r="F200" s="34">
        <f>IFERROR(_xlfn.XLOOKUP(E200,Index!$A:$A,Index!$B:$B),"")</f>
        <v>250</v>
      </c>
      <c r="G200" s="1"/>
      <c r="H200" s="1"/>
      <c r="I200" s="1"/>
      <c r="J200" s="1"/>
      <c r="K200" s="1"/>
    </row>
    <row r="201" spans="2:11" x14ac:dyDescent="0.25">
      <c r="B201" s="124"/>
      <c r="C201" s="64">
        <v>4</v>
      </c>
      <c r="D201" s="98">
        <v>100</v>
      </c>
      <c r="E201" s="35" t="s">
        <v>1987</v>
      </c>
      <c r="F201" s="34">
        <f>IFERROR(_xlfn.XLOOKUP(E201,Index!$A:$A,Index!$B:$B),"")</f>
        <v>747.5</v>
      </c>
      <c r="G201" s="1"/>
      <c r="H201" s="1"/>
      <c r="I201" s="1"/>
      <c r="J201" s="1"/>
      <c r="K201" s="1"/>
    </row>
    <row r="202" spans="2:11" x14ac:dyDescent="0.25">
      <c r="B202" s="124"/>
      <c r="C202" s="64">
        <v>5</v>
      </c>
      <c r="D202" s="98">
        <v>125</v>
      </c>
      <c r="E202" s="35" t="s">
        <v>1988</v>
      </c>
      <c r="F202" s="34">
        <f>IFERROR(_xlfn.XLOOKUP(E202,Index!$A:$A,Index!$B:$B),"")</f>
        <v>1246</v>
      </c>
      <c r="G202" s="1"/>
      <c r="H202" s="1"/>
      <c r="I202" s="1"/>
      <c r="J202" s="1"/>
      <c r="K202" s="1"/>
    </row>
    <row r="203" spans="2:11" x14ac:dyDescent="0.25">
      <c r="B203" s="124"/>
      <c r="C203" s="64">
        <v>6</v>
      </c>
      <c r="D203" s="98">
        <v>150</v>
      </c>
      <c r="E203" s="35" t="s">
        <v>1988</v>
      </c>
      <c r="F203" s="34">
        <f>IFERROR(_xlfn.XLOOKUP(E203,Index!$A:$A,Index!$B:$B),"")</f>
        <v>1246</v>
      </c>
      <c r="G203" s="1"/>
      <c r="H203" s="1"/>
      <c r="I203" s="1"/>
      <c r="J203" s="1"/>
      <c r="K203" s="1"/>
    </row>
    <row r="204" spans="2:11" x14ac:dyDescent="0.25">
      <c r="B204" s="124"/>
      <c r="C204" s="64">
        <v>8</v>
      </c>
      <c r="D204" s="98">
        <v>200</v>
      </c>
      <c r="E204" s="35" t="s">
        <v>1989</v>
      </c>
      <c r="F204" s="34">
        <f>IFERROR(_xlfn.XLOOKUP(E204,Index!$A:$A,Index!$B:$B),"")</f>
        <v>1662</v>
      </c>
      <c r="G204" s="1"/>
      <c r="H204" s="1"/>
      <c r="I204" s="1"/>
      <c r="J204" s="1"/>
      <c r="K204" s="1"/>
    </row>
    <row r="205" spans="2:11" x14ac:dyDescent="0.25">
      <c r="B205" s="124"/>
      <c r="C205" s="64">
        <v>10</v>
      </c>
      <c r="D205" s="98">
        <v>250</v>
      </c>
      <c r="E205" s="35" t="s">
        <v>1989</v>
      </c>
      <c r="F205" s="34">
        <f>IFERROR(_xlfn.XLOOKUP(E205,Index!$A:$A,Index!$B:$B),"")</f>
        <v>1662</v>
      </c>
      <c r="G205" s="1"/>
      <c r="H205" s="1"/>
      <c r="I205" s="1"/>
      <c r="J205" s="1"/>
      <c r="K205" s="1"/>
    </row>
    <row r="206" spans="2:11" x14ac:dyDescent="0.25">
      <c r="B206" s="124"/>
      <c r="C206" s="64">
        <v>12</v>
      </c>
      <c r="D206" s="98">
        <v>300</v>
      </c>
      <c r="E206" s="35" t="s">
        <v>1989</v>
      </c>
      <c r="F206" s="34">
        <f>IFERROR(_xlfn.XLOOKUP(E206,Index!$A:$A,Index!$B:$B),"")</f>
        <v>1662</v>
      </c>
      <c r="G206" s="1"/>
      <c r="H206" s="1"/>
      <c r="I206" s="1"/>
      <c r="J206" s="1"/>
      <c r="K206" s="1"/>
    </row>
    <row r="207" spans="2:11" x14ac:dyDescent="0.25">
      <c r="B207" s="124"/>
      <c r="C207" s="64">
        <v>14</v>
      </c>
      <c r="D207" s="98">
        <v>350</v>
      </c>
      <c r="E207" s="35" t="s">
        <v>1989</v>
      </c>
      <c r="F207" s="34">
        <f>IFERROR(_xlfn.XLOOKUP(E207,Index!$A:$A,Index!$B:$B),"")</f>
        <v>1662</v>
      </c>
      <c r="G207" s="1"/>
      <c r="H207" s="1"/>
      <c r="I207" s="1"/>
      <c r="J207" s="1"/>
      <c r="K207" s="1"/>
    </row>
    <row r="208" spans="2:11" x14ac:dyDescent="0.25">
      <c r="B208" s="120"/>
      <c r="C208" s="64">
        <v>16</v>
      </c>
      <c r="D208" s="98">
        <v>400</v>
      </c>
      <c r="E208" s="35" t="s">
        <v>1989</v>
      </c>
      <c r="F208" s="34">
        <f>IFERROR(_xlfn.XLOOKUP(E208,Index!$A:$A,Index!$B:$B),"")</f>
        <v>1662</v>
      </c>
      <c r="G208" s="1"/>
      <c r="H208" s="1"/>
      <c r="I208" s="1"/>
      <c r="J208" s="1"/>
      <c r="K208" s="1"/>
    </row>
    <row r="209" spans="2:11" x14ac:dyDescent="0.25">
      <c r="B209" s="60" t="s">
        <v>1361</v>
      </c>
      <c r="C209" s="64">
        <v>0.75</v>
      </c>
      <c r="D209" s="38">
        <v>25</v>
      </c>
      <c r="E209" s="35" t="s">
        <v>1362</v>
      </c>
      <c r="F209" s="34">
        <f>IFERROR(_xlfn.XLOOKUP(E209,Index!$A:$A,Index!$B:$B),"")</f>
        <v>25.5</v>
      </c>
      <c r="G209" s="1"/>
      <c r="H209" s="1"/>
      <c r="I209" s="1"/>
      <c r="J209" s="1"/>
      <c r="K209" s="1"/>
    </row>
    <row r="210" spans="2:11" ht="24.75" x14ac:dyDescent="0.25">
      <c r="B210" s="213" t="s">
        <v>1990</v>
      </c>
      <c r="C210" s="125">
        <v>1</v>
      </c>
      <c r="D210" s="98">
        <v>25</v>
      </c>
      <c r="E210" s="35" t="s">
        <v>1362</v>
      </c>
      <c r="F210" s="34">
        <f>IFERROR(_xlfn.XLOOKUP(E210,Index!$A:$A,Index!$B:$B),"")</f>
        <v>25.5</v>
      </c>
      <c r="G210" s="1"/>
      <c r="H210" s="1"/>
      <c r="I210" s="1"/>
      <c r="J210" s="1"/>
      <c r="K210" s="1"/>
    </row>
    <row r="211" spans="2:11" x14ac:dyDescent="0.25">
      <c r="B211" s="124"/>
      <c r="C211" s="64">
        <v>1.25</v>
      </c>
      <c r="D211" s="98">
        <v>32</v>
      </c>
      <c r="E211" s="35" t="s">
        <v>1362</v>
      </c>
      <c r="F211" s="34">
        <f>IFERROR(_xlfn.XLOOKUP(E211,Index!$A:$A,Index!$B:$B),"")</f>
        <v>25.5</v>
      </c>
      <c r="G211" s="1"/>
      <c r="H211" s="1"/>
      <c r="I211" s="1"/>
      <c r="J211" s="1"/>
      <c r="K211" s="1"/>
    </row>
    <row r="212" spans="2:11" x14ac:dyDescent="0.25">
      <c r="B212" s="124"/>
      <c r="C212" s="64">
        <v>1.5</v>
      </c>
      <c r="D212" s="98">
        <v>40</v>
      </c>
      <c r="E212" s="35" t="s">
        <v>1362</v>
      </c>
      <c r="F212" s="34">
        <f>IFERROR(_xlfn.XLOOKUP(E212,Index!$A:$A,Index!$B:$B),"")</f>
        <v>25.5</v>
      </c>
      <c r="G212" s="1"/>
      <c r="H212" s="1"/>
      <c r="I212" s="1"/>
      <c r="J212" s="1"/>
      <c r="K212" s="1"/>
    </row>
    <row r="213" spans="2:11" x14ac:dyDescent="0.25">
      <c r="B213" s="124"/>
      <c r="C213" s="64">
        <v>2</v>
      </c>
      <c r="D213" s="98">
        <v>50</v>
      </c>
      <c r="E213" s="35" t="s">
        <v>1991</v>
      </c>
      <c r="F213" s="34">
        <f>IFERROR(_xlfn.XLOOKUP(E213,Index!$A:$A,Index!$B:$B),"")</f>
        <v>25.5</v>
      </c>
      <c r="G213" s="1"/>
      <c r="H213" s="1"/>
      <c r="I213" s="1"/>
      <c r="J213" s="1"/>
      <c r="K213" s="1"/>
    </row>
    <row r="214" spans="2:11" x14ac:dyDescent="0.25">
      <c r="B214" s="124"/>
      <c r="C214" s="64">
        <v>2.5</v>
      </c>
      <c r="D214" s="98">
        <v>65</v>
      </c>
      <c r="E214" s="35" t="s">
        <v>1363</v>
      </c>
      <c r="F214" s="34">
        <f>IFERROR(_xlfn.XLOOKUP(E214,Index!$A:$A,Index!$B:$B),"")</f>
        <v>25.5</v>
      </c>
      <c r="G214" s="1"/>
      <c r="H214" s="1"/>
      <c r="I214" s="1"/>
      <c r="J214" s="1"/>
      <c r="K214" s="1"/>
    </row>
    <row r="215" spans="2:11" x14ac:dyDescent="0.25">
      <c r="B215" s="124"/>
      <c r="C215" s="64">
        <v>3</v>
      </c>
      <c r="D215" s="98">
        <v>80</v>
      </c>
      <c r="E215" s="35" t="s">
        <v>1363</v>
      </c>
      <c r="F215" s="34">
        <f>IFERROR(_xlfn.XLOOKUP(E215,Index!$A:$A,Index!$B:$B),"")</f>
        <v>25.5</v>
      </c>
      <c r="G215" s="1"/>
      <c r="H215" s="1"/>
      <c r="I215" s="1"/>
      <c r="J215" s="1"/>
      <c r="K215" s="1"/>
    </row>
    <row r="216" spans="2:11" x14ac:dyDescent="0.25">
      <c r="B216" s="124"/>
      <c r="C216" s="64">
        <v>4</v>
      </c>
      <c r="D216" s="98">
        <v>100</v>
      </c>
      <c r="E216" s="35" t="s">
        <v>1363</v>
      </c>
      <c r="F216" s="34">
        <f>IFERROR(_xlfn.XLOOKUP(E216,Index!$A:$A,Index!$B:$B),"")</f>
        <v>25.5</v>
      </c>
      <c r="G216" s="1"/>
      <c r="H216" s="1"/>
      <c r="I216" s="1"/>
      <c r="J216" s="1"/>
      <c r="K216" s="1"/>
    </row>
    <row r="217" spans="2:11" x14ac:dyDescent="0.25">
      <c r="B217" s="124"/>
      <c r="C217" s="64">
        <v>5</v>
      </c>
      <c r="D217" s="98">
        <v>125</v>
      </c>
      <c r="E217" s="35" t="s">
        <v>1363</v>
      </c>
      <c r="F217" s="34">
        <f>IFERROR(_xlfn.XLOOKUP(E217,Index!$A:$A,Index!$B:$B),"")</f>
        <v>25.5</v>
      </c>
      <c r="G217" s="1"/>
      <c r="H217" s="1"/>
      <c r="I217" s="1"/>
      <c r="J217" s="1"/>
      <c r="K217" s="1"/>
    </row>
    <row r="218" spans="2:11" x14ac:dyDescent="0.25">
      <c r="B218" s="120"/>
      <c r="C218" s="64">
        <v>6</v>
      </c>
      <c r="D218" s="98">
        <v>150</v>
      </c>
      <c r="E218" s="35" t="s">
        <v>1363</v>
      </c>
      <c r="F218" s="34">
        <f>IFERROR(_xlfn.XLOOKUP(E218,Index!$A:$A,Index!$B:$B),"")</f>
        <v>25.5</v>
      </c>
      <c r="G218" s="1"/>
      <c r="H218" s="1"/>
      <c r="I218" s="1"/>
      <c r="J218" s="1"/>
      <c r="K218" s="1"/>
    </row>
    <row r="219" spans="2:11" x14ac:dyDescent="0.25">
      <c r="B219" s="60" t="s">
        <v>1992</v>
      </c>
      <c r="C219" s="64">
        <v>0.75</v>
      </c>
      <c r="D219" s="38">
        <v>25</v>
      </c>
      <c r="E219" s="35" t="s">
        <v>1993</v>
      </c>
      <c r="F219" s="34">
        <f>IFERROR(_xlfn.XLOOKUP(E219,Index!$A:$A,Index!$B:$B),"")</f>
        <v>6.25</v>
      </c>
      <c r="G219" s="1"/>
      <c r="H219" s="1"/>
      <c r="I219" s="1"/>
      <c r="J219" s="1"/>
      <c r="K219" s="1"/>
    </row>
    <row r="220" spans="2:11" x14ac:dyDescent="0.25">
      <c r="B220" s="26" t="s">
        <v>1964</v>
      </c>
      <c r="C220" s="125">
        <v>1</v>
      </c>
      <c r="D220" s="98">
        <v>25</v>
      </c>
      <c r="E220" s="35" t="s">
        <v>1993</v>
      </c>
      <c r="F220" s="34">
        <f>IFERROR(_xlfn.XLOOKUP(E220,Index!$A:$A,Index!$B:$B),"")</f>
        <v>6.25</v>
      </c>
      <c r="G220" s="1"/>
      <c r="H220" s="1"/>
      <c r="I220" s="1"/>
      <c r="J220" s="1"/>
      <c r="K220" s="1"/>
    </row>
    <row r="221" spans="2:11" x14ac:dyDescent="0.25">
      <c r="B221" s="124"/>
      <c r="C221" s="64">
        <v>1.25</v>
      </c>
      <c r="D221" s="98">
        <v>32</v>
      </c>
      <c r="E221" s="35" t="s">
        <v>1994</v>
      </c>
      <c r="F221" s="34">
        <f>IFERROR(_xlfn.XLOOKUP(E221,Index!$A:$A,Index!$B:$B),"")</f>
        <v>102</v>
      </c>
      <c r="G221" s="1"/>
      <c r="H221" s="1"/>
      <c r="I221" s="1"/>
      <c r="J221" s="1"/>
      <c r="K221" s="1"/>
    </row>
    <row r="222" spans="2:11" x14ac:dyDescent="0.25">
      <c r="B222" s="124"/>
      <c r="C222" s="64">
        <v>1.5</v>
      </c>
      <c r="D222" s="98">
        <v>40</v>
      </c>
      <c r="E222" s="35" t="s">
        <v>1994</v>
      </c>
      <c r="F222" s="34">
        <f>IFERROR(_xlfn.XLOOKUP(E222,Index!$A:$A,Index!$B:$B),"")</f>
        <v>102</v>
      </c>
      <c r="G222" s="1"/>
      <c r="H222" s="1"/>
      <c r="I222" s="1"/>
      <c r="J222" s="1"/>
      <c r="K222" s="1"/>
    </row>
    <row r="223" spans="2:11" x14ac:dyDescent="0.25">
      <c r="B223" s="124"/>
      <c r="C223" s="64">
        <v>2</v>
      </c>
      <c r="D223" s="98">
        <v>50</v>
      </c>
      <c r="E223" s="35" t="s">
        <v>1995</v>
      </c>
      <c r="F223" s="34">
        <f>IFERROR(_xlfn.XLOOKUP(E223,Index!$A:$A,Index!$B:$B),"")</f>
        <v>10.25</v>
      </c>
      <c r="G223" s="1"/>
      <c r="H223" s="1"/>
      <c r="I223" s="1"/>
      <c r="J223" s="1"/>
      <c r="K223" s="1"/>
    </row>
    <row r="224" spans="2:11" x14ac:dyDescent="0.25">
      <c r="B224" s="124"/>
      <c r="C224" s="64">
        <v>2.5</v>
      </c>
      <c r="D224" s="98">
        <v>65</v>
      </c>
      <c r="E224" s="35" t="s">
        <v>1996</v>
      </c>
      <c r="F224" s="34">
        <f>IFERROR(_xlfn.XLOOKUP(E224,Index!$A:$A,Index!$B:$B),"")</f>
        <v>177</v>
      </c>
      <c r="G224" s="1"/>
      <c r="H224" s="1"/>
      <c r="I224" s="1"/>
      <c r="J224" s="1"/>
      <c r="K224" s="1"/>
    </row>
    <row r="225" spans="2:11" x14ac:dyDescent="0.25">
      <c r="B225" s="124"/>
      <c r="C225" s="64">
        <v>3</v>
      </c>
      <c r="D225" s="98">
        <v>80</v>
      </c>
      <c r="E225" s="35" t="s">
        <v>1996</v>
      </c>
      <c r="F225" s="34">
        <f>IFERROR(_xlfn.XLOOKUP(E225,Index!$A:$A,Index!$B:$B),"")</f>
        <v>177</v>
      </c>
      <c r="G225" s="1"/>
      <c r="H225" s="1"/>
      <c r="I225" s="1"/>
      <c r="J225" s="1"/>
      <c r="K225" s="1"/>
    </row>
    <row r="226" spans="2:11" x14ac:dyDescent="0.25">
      <c r="B226" s="124"/>
      <c r="C226" s="64">
        <v>4</v>
      </c>
      <c r="D226" s="98">
        <v>100</v>
      </c>
      <c r="E226" s="35" t="s">
        <v>1997</v>
      </c>
      <c r="F226" s="34">
        <f>IFERROR(_xlfn.XLOOKUP(E226,Index!$A:$A,Index!$B:$B),"")</f>
        <v>26.75</v>
      </c>
      <c r="G226" s="1"/>
      <c r="H226" s="1"/>
      <c r="I226" s="1"/>
      <c r="J226" s="1"/>
      <c r="K226" s="1"/>
    </row>
    <row r="227" spans="2:11" x14ac:dyDescent="0.25">
      <c r="B227" s="124"/>
      <c r="C227" s="64">
        <v>5</v>
      </c>
      <c r="D227" s="98">
        <v>125</v>
      </c>
      <c r="E227" s="35" t="s">
        <v>1998</v>
      </c>
      <c r="F227" s="34">
        <f>IFERROR(_xlfn.XLOOKUP(E227,Index!$A:$A,Index!$B:$B),"")</f>
        <v>65.75</v>
      </c>
      <c r="G227" s="1"/>
      <c r="H227" s="1"/>
      <c r="I227" s="1"/>
      <c r="J227" s="1"/>
      <c r="K227" s="1"/>
    </row>
    <row r="228" spans="2:11" x14ac:dyDescent="0.25">
      <c r="B228" s="124"/>
      <c r="C228" s="64">
        <v>6</v>
      </c>
      <c r="D228" s="98">
        <v>150</v>
      </c>
      <c r="E228" s="35" t="s">
        <v>1998</v>
      </c>
      <c r="F228" s="34">
        <f>IFERROR(_xlfn.XLOOKUP(E228,Index!$A:$A,Index!$B:$B),"")</f>
        <v>65.75</v>
      </c>
      <c r="G228" s="1"/>
      <c r="H228" s="1"/>
      <c r="I228" s="1"/>
      <c r="J228" s="1"/>
      <c r="K228" s="1"/>
    </row>
    <row r="229" spans="2:11" x14ac:dyDescent="0.25">
      <c r="B229" s="124"/>
      <c r="C229" s="64">
        <v>8</v>
      </c>
      <c r="D229" s="98">
        <v>200</v>
      </c>
      <c r="E229" s="35" t="s">
        <v>1999</v>
      </c>
      <c r="F229" s="34">
        <f>IFERROR(_xlfn.XLOOKUP(E229,Index!$A:$A,Index!$B:$B),"")</f>
        <v>125</v>
      </c>
      <c r="G229" s="1"/>
      <c r="H229" s="1"/>
      <c r="I229" s="1"/>
      <c r="J229" s="1"/>
      <c r="K229" s="1"/>
    </row>
    <row r="230" spans="2:11" x14ac:dyDescent="0.25">
      <c r="B230" s="124"/>
      <c r="C230" s="64">
        <v>10</v>
      </c>
      <c r="D230" s="98">
        <v>250</v>
      </c>
      <c r="E230" s="35" t="s">
        <v>2000</v>
      </c>
      <c r="F230" s="34">
        <f>IFERROR(_xlfn.XLOOKUP(E230,Index!$A:$A,Index!$B:$B),"")</f>
        <v>125</v>
      </c>
      <c r="G230" s="1"/>
      <c r="H230" s="1"/>
      <c r="I230" s="1"/>
      <c r="J230" s="1"/>
      <c r="K230" s="1"/>
    </row>
    <row r="231" spans="2:11" x14ac:dyDescent="0.25">
      <c r="B231" s="124"/>
      <c r="C231" s="64">
        <v>12</v>
      </c>
      <c r="D231" s="98">
        <v>300</v>
      </c>
      <c r="E231" s="35" t="s">
        <v>2001</v>
      </c>
      <c r="F231" s="34">
        <f>IFERROR(_xlfn.XLOOKUP(E231,Index!$A:$A,Index!$B:$B),"")</f>
        <v>125</v>
      </c>
      <c r="G231" s="1"/>
      <c r="H231" s="1"/>
      <c r="I231" s="1"/>
      <c r="J231" s="1"/>
      <c r="K231" s="1"/>
    </row>
    <row r="232" spans="2:11" x14ac:dyDescent="0.25">
      <c r="B232" s="124"/>
      <c r="C232" s="64">
        <v>14</v>
      </c>
      <c r="D232" s="98">
        <v>350</v>
      </c>
      <c r="E232" s="35" t="s">
        <v>2002</v>
      </c>
      <c r="F232" s="34">
        <f>IFERROR(_xlfn.XLOOKUP(E232,Index!$A:$A,Index!$B:$B),"")</f>
        <v>250</v>
      </c>
      <c r="G232" s="1"/>
      <c r="H232" s="1"/>
      <c r="I232" s="1"/>
      <c r="J232" s="1"/>
      <c r="K232" s="1"/>
    </row>
    <row r="233" spans="2:11" x14ac:dyDescent="0.25">
      <c r="B233" s="120"/>
      <c r="C233" s="64">
        <v>16</v>
      </c>
      <c r="D233" s="98">
        <v>400</v>
      </c>
      <c r="E233" s="35" t="s">
        <v>5542</v>
      </c>
      <c r="F233" s="250">
        <f>F232</f>
        <v>250</v>
      </c>
      <c r="G233" s="1"/>
      <c r="H233" s="1"/>
      <c r="I233" s="1"/>
      <c r="J233" s="1"/>
      <c r="K233" s="1"/>
    </row>
    <row r="234" spans="2:11" x14ac:dyDescent="0.25">
      <c r="B234" s="60" t="s">
        <v>2003</v>
      </c>
      <c r="C234" s="64">
        <v>0.75</v>
      </c>
      <c r="D234" s="38">
        <v>25</v>
      </c>
      <c r="E234" s="35" t="s">
        <v>2004</v>
      </c>
      <c r="F234" s="34">
        <f>IFERROR(_xlfn.XLOOKUP(E234,Index!$A:$A,Index!$B:$B),"")</f>
        <v>33.5</v>
      </c>
      <c r="G234" s="1"/>
      <c r="H234" s="1"/>
      <c r="I234" s="1"/>
      <c r="J234" s="1"/>
      <c r="K234" s="1"/>
    </row>
    <row r="235" spans="2:11" x14ac:dyDescent="0.25">
      <c r="B235" s="26" t="s">
        <v>1964</v>
      </c>
      <c r="C235" s="125">
        <v>1</v>
      </c>
      <c r="D235" s="98">
        <v>25</v>
      </c>
      <c r="E235" s="35" t="s">
        <v>2004</v>
      </c>
      <c r="F235" s="34">
        <f>IFERROR(_xlfn.XLOOKUP(E235,Index!$A:$A,Index!$B:$B),"")</f>
        <v>33.5</v>
      </c>
      <c r="G235" s="1"/>
      <c r="H235" s="1"/>
      <c r="I235" s="1"/>
      <c r="J235" s="1"/>
      <c r="K235" s="1"/>
    </row>
    <row r="236" spans="2:11" x14ac:dyDescent="0.25">
      <c r="B236" s="124"/>
      <c r="C236" s="64">
        <v>1.25</v>
      </c>
      <c r="D236" s="98">
        <v>32</v>
      </c>
      <c r="E236" s="35" t="s">
        <v>2005</v>
      </c>
      <c r="F236" s="34">
        <f>IFERROR(_xlfn.XLOOKUP(E236,Index!$A:$A,Index!$B:$B),"")</f>
        <v>125</v>
      </c>
      <c r="G236" s="1"/>
      <c r="H236" s="1"/>
      <c r="I236" s="1"/>
      <c r="J236" s="1"/>
      <c r="K236" s="1"/>
    </row>
    <row r="237" spans="2:11" x14ac:dyDescent="0.25">
      <c r="B237" s="124"/>
      <c r="C237" s="64">
        <v>1.5</v>
      </c>
      <c r="D237" s="98">
        <v>40</v>
      </c>
      <c r="E237" s="35" t="s">
        <v>2005</v>
      </c>
      <c r="F237" s="34">
        <f>IFERROR(_xlfn.XLOOKUP(E237,Index!$A:$A,Index!$B:$B),"")</f>
        <v>125</v>
      </c>
      <c r="G237" s="1"/>
      <c r="H237" s="1"/>
      <c r="I237" s="1"/>
      <c r="J237" s="1"/>
      <c r="K237" s="1"/>
    </row>
    <row r="238" spans="2:11" x14ac:dyDescent="0.25">
      <c r="B238" s="124"/>
      <c r="C238" s="64">
        <v>2</v>
      </c>
      <c r="D238" s="98">
        <v>50</v>
      </c>
      <c r="E238" s="35" t="s">
        <v>2006</v>
      </c>
      <c r="F238" s="34">
        <f>IFERROR(_xlfn.XLOOKUP(E238,Index!$A:$A,Index!$B:$B),"")</f>
        <v>125</v>
      </c>
      <c r="G238" s="1"/>
      <c r="H238" s="1"/>
      <c r="I238" s="1"/>
      <c r="J238" s="1"/>
      <c r="K238" s="1"/>
    </row>
    <row r="239" spans="2:11" x14ac:dyDescent="0.25">
      <c r="B239" s="124"/>
      <c r="C239" s="64">
        <v>2.5</v>
      </c>
      <c r="D239" s="98">
        <v>65</v>
      </c>
      <c r="E239" s="35" t="s">
        <v>2007</v>
      </c>
      <c r="F239" s="34">
        <f>IFERROR(_xlfn.XLOOKUP(E239,Index!$A:$A,Index!$B:$B),"")</f>
        <v>131.5</v>
      </c>
      <c r="G239" s="1"/>
      <c r="H239" s="1"/>
      <c r="I239" s="1"/>
      <c r="J239" s="1"/>
      <c r="K239" s="1"/>
    </row>
    <row r="240" spans="2:11" x14ac:dyDescent="0.25">
      <c r="B240" s="124"/>
      <c r="C240" s="64">
        <v>3</v>
      </c>
      <c r="D240" s="98">
        <v>80</v>
      </c>
      <c r="E240" s="35" t="s">
        <v>2007</v>
      </c>
      <c r="F240" s="34">
        <f>IFERROR(_xlfn.XLOOKUP(E240,Index!$A:$A,Index!$B:$B),"")</f>
        <v>131.5</v>
      </c>
      <c r="G240" s="1"/>
      <c r="H240" s="1"/>
      <c r="I240" s="1"/>
      <c r="J240" s="1"/>
      <c r="K240" s="1"/>
    </row>
    <row r="241" spans="2:11" x14ac:dyDescent="0.25">
      <c r="B241" s="124"/>
      <c r="C241" s="64">
        <v>4</v>
      </c>
      <c r="D241" s="98">
        <v>100</v>
      </c>
      <c r="E241" s="35" t="s">
        <v>2007</v>
      </c>
      <c r="F241" s="34">
        <f>IFERROR(_xlfn.XLOOKUP(E241,Index!$A:$A,Index!$B:$B),"")</f>
        <v>131.5</v>
      </c>
      <c r="G241" s="1"/>
      <c r="H241" s="1"/>
      <c r="I241" s="1"/>
      <c r="J241" s="1"/>
      <c r="K241" s="1"/>
    </row>
    <row r="242" spans="2:11" x14ac:dyDescent="0.25">
      <c r="B242" s="124"/>
      <c r="C242" s="64">
        <v>5</v>
      </c>
      <c r="D242" s="98">
        <v>125</v>
      </c>
      <c r="E242" s="35" t="s">
        <v>2008</v>
      </c>
      <c r="F242" s="34">
        <f>IFERROR(_xlfn.XLOOKUP(E242,Index!$A:$A,Index!$B:$B),"")</f>
        <v>416</v>
      </c>
      <c r="G242" s="1"/>
      <c r="H242" s="1"/>
      <c r="I242" s="1"/>
      <c r="J242" s="1"/>
      <c r="K242" s="1"/>
    </row>
    <row r="243" spans="2:11" x14ac:dyDescent="0.25">
      <c r="B243" s="120"/>
      <c r="C243" s="64">
        <v>6</v>
      </c>
      <c r="D243" s="98">
        <v>150</v>
      </c>
      <c r="E243" s="35" t="s">
        <v>2008</v>
      </c>
      <c r="F243" s="34">
        <f>IFERROR(_xlfn.XLOOKUP(E243,Index!$A:$A,Index!$B:$B),"")</f>
        <v>416</v>
      </c>
      <c r="G243" s="1"/>
      <c r="H243" s="1"/>
      <c r="I243" s="1"/>
      <c r="J243" s="1"/>
      <c r="K243" s="1"/>
    </row>
    <row r="244" spans="2:11" x14ac:dyDescent="0.25">
      <c r="B244" s="60" t="s">
        <v>2009</v>
      </c>
      <c r="C244" s="64">
        <v>0.75</v>
      </c>
      <c r="D244" s="38">
        <v>25</v>
      </c>
      <c r="E244" s="35" t="s">
        <v>2010</v>
      </c>
      <c r="F244" s="34">
        <f>IFERROR(_xlfn.XLOOKUP(E244,Index!$A:$A,Index!$B:$B),"")</f>
        <v>26.75</v>
      </c>
      <c r="G244" s="1"/>
      <c r="H244" s="1"/>
      <c r="I244" s="1"/>
      <c r="J244" s="1"/>
      <c r="K244" s="1"/>
    </row>
    <row r="245" spans="2:11" x14ac:dyDescent="0.25">
      <c r="B245" s="26" t="s">
        <v>1964</v>
      </c>
      <c r="C245" s="125">
        <v>1</v>
      </c>
      <c r="D245" s="98">
        <v>25</v>
      </c>
      <c r="E245" s="35" t="s">
        <v>2010</v>
      </c>
      <c r="F245" s="34">
        <f>IFERROR(_xlfn.XLOOKUP(E245,Index!$A:$A,Index!$B:$B),"")</f>
        <v>26.75</v>
      </c>
      <c r="G245" s="1"/>
      <c r="H245" s="1"/>
      <c r="I245" s="1"/>
      <c r="J245" s="1"/>
      <c r="K245" s="1"/>
    </row>
    <row r="246" spans="2:11" x14ac:dyDescent="0.25">
      <c r="B246" s="124"/>
      <c r="C246" s="64">
        <v>1.25</v>
      </c>
      <c r="D246" s="98">
        <v>32</v>
      </c>
      <c r="E246" s="35" t="s">
        <v>2011</v>
      </c>
      <c r="F246" s="34">
        <f>IFERROR(_xlfn.XLOOKUP(E246,Index!$A:$A,Index!$B:$B),"")</f>
        <v>98.5</v>
      </c>
      <c r="G246" s="1"/>
      <c r="H246" s="1"/>
      <c r="I246" s="1"/>
      <c r="J246" s="1"/>
      <c r="K246" s="1"/>
    </row>
    <row r="247" spans="2:11" x14ac:dyDescent="0.25">
      <c r="B247" s="124"/>
      <c r="C247" s="64">
        <v>1.5</v>
      </c>
      <c r="D247" s="98">
        <v>40</v>
      </c>
      <c r="E247" s="35" t="s">
        <v>2011</v>
      </c>
      <c r="F247" s="34">
        <f>IFERROR(_xlfn.XLOOKUP(E247,Index!$A:$A,Index!$B:$B),"")</f>
        <v>98.5</v>
      </c>
      <c r="G247" s="1"/>
      <c r="H247" s="1"/>
      <c r="I247" s="1"/>
      <c r="J247" s="1"/>
      <c r="K247" s="1"/>
    </row>
    <row r="248" spans="2:11" x14ac:dyDescent="0.25">
      <c r="B248" s="124"/>
      <c r="C248" s="64">
        <v>2</v>
      </c>
      <c r="D248" s="98">
        <v>50</v>
      </c>
      <c r="E248" s="35" t="s">
        <v>2012</v>
      </c>
      <c r="F248" s="34">
        <f>IFERROR(_xlfn.XLOOKUP(E248,Index!$A:$A,Index!$B:$B),"")</f>
        <v>98.5</v>
      </c>
      <c r="G248" s="1"/>
      <c r="H248" s="1"/>
      <c r="I248" s="1"/>
      <c r="J248" s="1"/>
      <c r="K248" s="1"/>
    </row>
    <row r="249" spans="2:11" x14ac:dyDescent="0.25">
      <c r="B249" s="124"/>
      <c r="C249" s="64">
        <v>2.5</v>
      </c>
      <c r="D249" s="98">
        <v>65</v>
      </c>
      <c r="E249" s="35" t="s">
        <v>2013</v>
      </c>
      <c r="F249" s="34">
        <f>IFERROR(_xlfn.XLOOKUP(E249,Index!$A:$A,Index!$B:$B),"")</f>
        <v>131.5</v>
      </c>
      <c r="G249" s="1"/>
      <c r="H249" s="1"/>
      <c r="I249" s="1"/>
      <c r="J249" s="1"/>
      <c r="K249" s="1"/>
    </row>
    <row r="250" spans="2:11" x14ac:dyDescent="0.25">
      <c r="B250" s="124"/>
      <c r="C250" s="64">
        <v>3</v>
      </c>
      <c r="D250" s="98">
        <v>80</v>
      </c>
      <c r="E250" s="35" t="s">
        <v>2013</v>
      </c>
      <c r="F250" s="34">
        <f>IFERROR(_xlfn.XLOOKUP(E250,Index!$A:$A,Index!$B:$B),"")</f>
        <v>131.5</v>
      </c>
      <c r="G250" s="1"/>
      <c r="H250" s="1"/>
      <c r="I250" s="1"/>
      <c r="J250" s="1"/>
      <c r="K250" s="1"/>
    </row>
    <row r="251" spans="2:11" x14ac:dyDescent="0.25">
      <c r="B251" s="124"/>
      <c r="C251" s="64">
        <v>4</v>
      </c>
      <c r="D251" s="98">
        <v>100</v>
      </c>
      <c r="E251" s="35" t="s">
        <v>2014</v>
      </c>
      <c r="F251" s="34">
        <f>IFERROR(_xlfn.XLOOKUP(E251,Index!$A:$A,Index!$B:$B),"")</f>
        <v>131.5</v>
      </c>
      <c r="G251" s="1"/>
      <c r="H251" s="1"/>
      <c r="I251" s="1"/>
      <c r="J251" s="1"/>
      <c r="K251" s="1"/>
    </row>
    <row r="252" spans="2:11" x14ac:dyDescent="0.25">
      <c r="B252" s="124"/>
      <c r="C252" s="64">
        <v>5</v>
      </c>
      <c r="D252" s="98">
        <v>125</v>
      </c>
      <c r="E252" s="35" t="s">
        <v>2015</v>
      </c>
      <c r="F252" s="34">
        <f>IFERROR(_xlfn.XLOOKUP(E252,Index!$A:$A,Index!$B:$B),"")</f>
        <v>328</v>
      </c>
      <c r="G252" s="1"/>
      <c r="H252" s="1"/>
      <c r="I252" s="1"/>
      <c r="J252" s="1"/>
      <c r="K252" s="1"/>
    </row>
    <row r="253" spans="2:11" x14ac:dyDescent="0.25">
      <c r="B253" s="120"/>
      <c r="C253" s="64">
        <v>6</v>
      </c>
      <c r="D253" s="98">
        <v>150</v>
      </c>
      <c r="E253" s="35" t="s">
        <v>2015</v>
      </c>
      <c r="F253" s="34">
        <f>IFERROR(_xlfn.XLOOKUP(E253,Index!$A:$A,Index!$B:$B),"")</f>
        <v>328</v>
      </c>
      <c r="G253" s="1"/>
      <c r="H253" s="1"/>
      <c r="I253" s="1"/>
      <c r="J253" s="1"/>
      <c r="K253" s="1"/>
    </row>
    <row r="254" spans="2:11" x14ac:dyDescent="0.25">
      <c r="B254" s="60" t="s">
        <v>5579</v>
      </c>
      <c r="C254" s="64">
        <v>0.75</v>
      </c>
      <c r="D254" s="38">
        <v>25</v>
      </c>
      <c r="E254" s="35" t="s">
        <v>2016</v>
      </c>
      <c r="F254" s="34">
        <f>IFERROR(_xlfn.XLOOKUP(E254,Index!$A:$A,Index!$B:$B),"")</f>
        <v>747.5</v>
      </c>
      <c r="G254" s="1"/>
      <c r="H254" s="1"/>
      <c r="I254" s="1"/>
      <c r="J254" s="1"/>
      <c r="K254" s="1"/>
    </row>
    <row r="255" spans="2:11" x14ac:dyDescent="0.25">
      <c r="B255" s="26" t="s">
        <v>1964</v>
      </c>
      <c r="C255" s="125">
        <v>1</v>
      </c>
      <c r="D255" s="98">
        <v>25</v>
      </c>
      <c r="E255" s="35" t="s">
        <v>2016</v>
      </c>
      <c r="F255" s="34">
        <f>IFERROR(_xlfn.XLOOKUP(E255,Index!$A:$A,Index!$B:$B),"")</f>
        <v>747.5</v>
      </c>
      <c r="G255" s="1"/>
      <c r="H255" s="1"/>
      <c r="I255" s="1"/>
      <c r="J255" s="1"/>
      <c r="K255" s="1"/>
    </row>
    <row r="256" spans="2:11" x14ac:dyDescent="0.25">
      <c r="B256" s="124"/>
      <c r="C256" s="64">
        <v>1.25</v>
      </c>
      <c r="D256" s="98">
        <v>32</v>
      </c>
      <c r="E256" s="35" t="s">
        <v>2017</v>
      </c>
      <c r="F256" s="34">
        <f>IFERROR(_xlfn.XLOOKUP(E256,Index!$A:$A,Index!$B:$B),"")</f>
        <v>1163</v>
      </c>
      <c r="G256" s="1"/>
      <c r="H256" s="1"/>
      <c r="I256" s="1"/>
      <c r="J256" s="1"/>
      <c r="K256" s="1"/>
    </row>
    <row r="257" spans="2:11" x14ac:dyDescent="0.25">
      <c r="B257" s="124"/>
      <c r="C257" s="64">
        <v>1.5</v>
      </c>
      <c r="D257" s="98">
        <v>40</v>
      </c>
      <c r="E257" s="35" t="s">
        <v>2017</v>
      </c>
      <c r="F257" s="34">
        <f>IFERROR(_xlfn.XLOOKUP(E257,Index!$A:$A,Index!$B:$B),"")</f>
        <v>1163</v>
      </c>
      <c r="G257" s="1"/>
      <c r="H257" s="1"/>
      <c r="I257" s="1"/>
      <c r="J257" s="1"/>
      <c r="K257" s="1"/>
    </row>
    <row r="258" spans="2:11" x14ac:dyDescent="0.25">
      <c r="B258" s="124"/>
      <c r="C258" s="64">
        <v>2</v>
      </c>
      <c r="D258" s="98">
        <v>50</v>
      </c>
      <c r="E258" s="35" t="s">
        <v>2018</v>
      </c>
      <c r="F258" s="34">
        <f>IFERROR(_xlfn.XLOOKUP(E258,Index!$A:$A,Index!$B:$B),"")</f>
        <v>2243</v>
      </c>
      <c r="G258" s="1"/>
      <c r="H258" s="1"/>
      <c r="I258" s="1"/>
      <c r="J258" s="1"/>
      <c r="K258" s="1"/>
    </row>
    <row r="259" spans="2:11" x14ac:dyDescent="0.25">
      <c r="B259" s="124"/>
      <c r="C259" s="64">
        <v>2.5</v>
      </c>
      <c r="D259" s="98">
        <v>65</v>
      </c>
      <c r="E259" s="35" t="s">
        <v>2019</v>
      </c>
      <c r="F259" s="34">
        <f>IFERROR(_xlfn.XLOOKUP(E259,Index!$A:$A,Index!$B:$B),"")</f>
        <v>2243</v>
      </c>
      <c r="G259" s="1"/>
      <c r="H259" s="1"/>
      <c r="I259" s="1"/>
      <c r="J259" s="1"/>
      <c r="K259" s="1"/>
    </row>
    <row r="260" spans="2:11" x14ac:dyDescent="0.25">
      <c r="B260" s="124"/>
      <c r="C260" s="64">
        <v>3</v>
      </c>
      <c r="D260" s="98">
        <v>80</v>
      </c>
      <c r="E260" s="35" t="s">
        <v>2019</v>
      </c>
      <c r="F260" s="34">
        <f>IFERROR(_xlfn.XLOOKUP(E260,Index!$A:$A,Index!$B:$B),"")</f>
        <v>2243</v>
      </c>
      <c r="G260" s="1"/>
      <c r="H260" s="1"/>
      <c r="I260" s="1"/>
      <c r="J260" s="1"/>
      <c r="K260" s="1"/>
    </row>
    <row r="261" spans="2:11" x14ac:dyDescent="0.25">
      <c r="B261" s="124"/>
      <c r="C261" s="64">
        <v>4</v>
      </c>
      <c r="D261" s="98">
        <v>100</v>
      </c>
      <c r="E261" s="35" t="s">
        <v>2020</v>
      </c>
      <c r="F261" s="34">
        <f>IFERROR(_xlfn.XLOOKUP(E261,Index!$A:$A,Index!$B:$B),"")</f>
        <v>3654</v>
      </c>
      <c r="G261" s="1"/>
      <c r="H261" s="1"/>
      <c r="I261" s="1"/>
      <c r="J261" s="1"/>
      <c r="K261" s="1"/>
    </row>
    <row r="262" spans="2:11" x14ac:dyDescent="0.25">
      <c r="B262" s="124"/>
      <c r="C262" s="64">
        <v>5</v>
      </c>
      <c r="D262" s="98">
        <v>125</v>
      </c>
      <c r="E262" s="35" t="s">
        <v>2021</v>
      </c>
      <c r="F262" s="34">
        <f>IFERROR(_xlfn.XLOOKUP(E262,Index!$A:$A,Index!$B:$B),"")</f>
        <v>4982</v>
      </c>
      <c r="G262" s="1"/>
      <c r="H262" s="1"/>
      <c r="I262" s="1"/>
      <c r="J262" s="1"/>
      <c r="K262" s="1"/>
    </row>
    <row r="263" spans="2:11" x14ac:dyDescent="0.25">
      <c r="B263" s="120"/>
      <c r="C263" s="64">
        <v>6</v>
      </c>
      <c r="D263" s="98">
        <v>150</v>
      </c>
      <c r="E263" s="35" t="s">
        <v>2021</v>
      </c>
      <c r="F263" s="34">
        <f>IFERROR(_xlfn.XLOOKUP(E263,Index!$A:$A,Index!$B:$B),"")</f>
        <v>4982</v>
      </c>
      <c r="G263" s="1"/>
      <c r="H263" s="1"/>
      <c r="I263" s="1"/>
      <c r="J263" s="1"/>
      <c r="K263" s="1"/>
    </row>
    <row r="264" spans="2:11" x14ac:dyDescent="0.25">
      <c r="B264" s="60" t="s">
        <v>2022</v>
      </c>
      <c r="C264" s="64">
        <v>0.75</v>
      </c>
      <c r="D264" s="38">
        <v>25</v>
      </c>
      <c r="E264" s="35" t="s">
        <v>2023</v>
      </c>
      <c r="F264" s="34">
        <f>IFERROR(_xlfn.XLOOKUP(E264,Index!$A:$A,Index!$B:$B),"")</f>
        <v>192.5</v>
      </c>
      <c r="G264" s="1"/>
      <c r="H264" s="1"/>
      <c r="I264" s="1"/>
      <c r="J264" s="1"/>
      <c r="K264" s="1"/>
    </row>
    <row r="265" spans="2:11" x14ac:dyDescent="0.25">
      <c r="B265" s="26" t="s">
        <v>1964</v>
      </c>
      <c r="C265" s="125">
        <v>1</v>
      </c>
      <c r="D265" s="98">
        <v>25</v>
      </c>
      <c r="E265" s="35" t="s">
        <v>2023</v>
      </c>
      <c r="F265" s="34">
        <f>IFERROR(_xlfn.XLOOKUP(E265,Index!$A:$A,Index!$B:$B),"")</f>
        <v>192.5</v>
      </c>
      <c r="G265" s="1"/>
      <c r="H265" s="1"/>
      <c r="I265" s="1"/>
      <c r="J265" s="1"/>
      <c r="K265" s="1"/>
    </row>
    <row r="266" spans="2:11" x14ac:dyDescent="0.25">
      <c r="B266" s="124"/>
      <c r="C266" s="64">
        <v>1.25</v>
      </c>
      <c r="D266" s="98">
        <v>32</v>
      </c>
      <c r="E266" s="35" t="s">
        <v>2024</v>
      </c>
      <c r="F266" s="34">
        <f>IFERROR(_xlfn.XLOOKUP(E266,Index!$A:$A,Index!$B:$B),"")</f>
        <v>192.5</v>
      </c>
      <c r="G266" s="1"/>
      <c r="H266" s="1"/>
      <c r="I266" s="1"/>
      <c r="J266" s="1"/>
      <c r="K266" s="1"/>
    </row>
    <row r="267" spans="2:11" x14ac:dyDescent="0.25">
      <c r="B267" s="124"/>
      <c r="C267" s="64">
        <v>1.5</v>
      </c>
      <c r="D267" s="98">
        <v>40</v>
      </c>
      <c r="E267" s="35" t="s">
        <v>2024</v>
      </c>
      <c r="F267" s="34">
        <f>IFERROR(_xlfn.XLOOKUP(E267,Index!$A:$A,Index!$B:$B),"")</f>
        <v>192.5</v>
      </c>
      <c r="G267" s="1"/>
      <c r="H267" s="1"/>
      <c r="I267" s="1"/>
      <c r="J267" s="1"/>
      <c r="K267" s="1"/>
    </row>
    <row r="268" spans="2:11" x14ac:dyDescent="0.25">
      <c r="B268" s="124"/>
      <c r="C268" s="64">
        <v>2</v>
      </c>
      <c r="D268" s="98">
        <v>50</v>
      </c>
      <c r="E268" s="35" t="s">
        <v>2025</v>
      </c>
      <c r="F268" s="34">
        <f>IFERROR(_xlfn.XLOOKUP(E268,Index!$A:$A,Index!$B:$B),"")</f>
        <v>192.5</v>
      </c>
      <c r="G268" s="1"/>
      <c r="H268" s="1"/>
      <c r="I268" s="1"/>
      <c r="J268" s="1"/>
      <c r="K268" s="1"/>
    </row>
    <row r="269" spans="2:11" x14ac:dyDescent="0.25">
      <c r="B269" s="124"/>
      <c r="C269" s="64">
        <v>2.5</v>
      </c>
      <c r="D269" s="98">
        <v>65</v>
      </c>
      <c r="E269" s="35" t="s">
        <v>2026</v>
      </c>
      <c r="F269" s="34">
        <f>IFERROR(_xlfn.XLOOKUP(E269,Index!$A:$A,Index!$B:$B),"")</f>
        <v>541</v>
      </c>
      <c r="G269" s="1"/>
      <c r="H269" s="1"/>
      <c r="I269" s="1"/>
      <c r="J269" s="1"/>
      <c r="K269" s="1"/>
    </row>
    <row r="270" spans="2:11" x14ac:dyDescent="0.25">
      <c r="B270" s="124"/>
      <c r="C270" s="64">
        <v>3</v>
      </c>
      <c r="D270" s="98">
        <v>80</v>
      </c>
      <c r="E270" s="35" t="s">
        <v>2026</v>
      </c>
      <c r="F270" s="34">
        <f>IFERROR(_xlfn.XLOOKUP(E270,Index!$A:$A,Index!$B:$B),"")</f>
        <v>541</v>
      </c>
      <c r="G270" s="1"/>
      <c r="H270" s="1"/>
      <c r="I270" s="1"/>
      <c r="J270" s="1"/>
      <c r="K270" s="1"/>
    </row>
    <row r="271" spans="2:11" x14ac:dyDescent="0.25">
      <c r="B271" s="124"/>
      <c r="C271" s="64">
        <v>4</v>
      </c>
      <c r="D271" s="98">
        <v>100</v>
      </c>
      <c r="E271" s="35" t="s">
        <v>2027</v>
      </c>
      <c r="F271" s="34">
        <f>IFERROR(_xlfn.XLOOKUP(E271,Index!$A:$A,Index!$B:$B),"")</f>
        <v>541</v>
      </c>
      <c r="G271" s="1"/>
      <c r="H271" s="1"/>
      <c r="I271" s="1"/>
      <c r="J271" s="1"/>
      <c r="K271" s="1"/>
    </row>
    <row r="272" spans="2:11" x14ac:dyDescent="0.25">
      <c r="B272" s="124"/>
      <c r="C272" s="64">
        <v>5</v>
      </c>
      <c r="D272" s="98">
        <v>125</v>
      </c>
      <c r="E272" s="35" t="s">
        <v>2028</v>
      </c>
      <c r="F272" s="34">
        <f>IFERROR(_xlfn.XLOOKUP(E272,Index!$A:$A,Index!$B:$B),"")</f>
        <v>1246</v>
      </c>
      <c r="G272" s="1"/>
      <c r="H272" s="1"/>
      <c r="I272" s="1"/>
      <c r="J272" s="1"/>
      <c r="K272" s="1"/>
    </row>
    <row r="273" spans="2:11" x14ac:dyDescent="0.25">
      <c r="B273" s="124"/>
      <c r="C273" s="64">
        <v>6</v>
      </c>
      <c r="D273" s="98">
        <v>150</v>
      </c>
      <c r="E273" s="35" t="s">
        <v>2028</v>
      </c>
      <c r="F273" s="34">
        <f>IFERROR(_xlfn.XLOOKUP(E273,Index!$A:$A,Index!$B:$B),"")</f>
        <v>1246</v>
      </c>
      <c r="G273" s="1"/>
      <c r="H273" s="1"/>
      <c r="I273" s="1"/>
      <c r="J273" s="1"/>
      <c r="K273" s="1"/>
    </row>
    <row r="274" spans="2:11" x14ac:dyDescent="0.25">
      <c r="B274" s="124"/>
      <c r="C274" s="64">
        <v>8</v>
      </c>
      <c r="D274" s="98">
        <v>200</v>
      </c>
      <c r="E274" s="35" t="s">
        <v>2029</v>
      </c>
      <c r="F274" s="34">
        <f>IFERROR(_xlfn.XLOOKUP(E274,Index!$A:$A,Index!$B:$B),"")</f>
        <v>1246</v>
      </c>
      <c r="G274" s="1"/>
      <c r="H274" s="1"/>
      <c r="I274" s="1"/>
      <c r="J274" s="1"/>
      <c r="K274" s="1"/>
    </row>
    <row r="275" spans="2:11" x14ac:dyDescent="0.25">
      <c r="B275" s="124"/>
      <c r="C275" s="64">
        <v>10</v>
      </c>
      <c r="D275" s="98">
        <v>250</v>
      </c>
      <c r="E275" s="35" t="s">
        <v>2030</v>
      </c>
      <c r="F275" s="34">
        <f>IFERROR(_xlfn.XLOOKUP(E275,Index!$A:$A,Index!$B:$B),"")</f>
        <v>1246</v>
      </c>
      <c r="G275" s="1"/>
      <c r="H275" s="1"/>
      <c r="I275" s="1"/>
      <c r="J275" s="1"/>
      <c r="K275" s="1"/>
    </row>
    <row r="276" spans="2:11" x14ac:dyDescent="0.25">
      <c r="B276" s="124"/>
      <c r="C276" s="64">
        <v>12</v>
      </c>
      <c r="D276" s="98">
        <v>300</v>
      </c>
      <c r="E276" s="35" t="s">
        <v>2031</v>
      </c>
      <c r="F276" s="34">
        <f>IFERROR(_xlfn.XLOOKUP(E276,Index!$A:$A,Index!$B:$B),"")</f>
        <v>1246</v>
      </c>
      <c r="G276" s="1"/>
      <c r="H276" s="1"/>
      <c r="I276" s="1"/>
      <c r="J276" s="1"/>
      <c r="K276" s="1"/>
    </row>
    <row r="277" spans="2:11" x14ac:dyDescent="0.25">
      <c r="B277" s="124"/>
      <c r="C277" s="64">
        <v>14</v>
      </c>
      <c r="D277" s="98">
        <v>350</v>
      </c>
      <c r="E277" s="35" t="s">
        <v>2032</v>
      </c>
      <c r="F277" s="34">
        <f>IFERROR(_xlfn.XLOOKUP(E277,Index!$A:$A,Index!$B:$B),"")</f>
        <v>2078</v>
      </c>
    </row>
    <row r="278" spans="2:11" x14ac:dyDescent="0.25">
      <c r="B278" s="120"/>
      <c r="C278" s="64">
        <v>16</v>
      </c>
      <c r="D278" s="98">
        <v>400</v>
      </c>
      <c r="E278" s="35" t="s">
        <v>2033</v>
      </c>
      <c r="F278" s="34">
        <f>IFERROR(_xlfn.XLOOKUP(E278,Index!$A:$A,Index!$B:$B),"")</f>
        <v>2078</v>
      </c>
    </row>
    <row r="279" spans="2:11" x14ac:dyDescent="0.25">
      <c r="B279" s="60" t="s">
        <v>2034</v>
      </c>
      <c r="C279" s="64">
        <v>0.75</v>
      </c>
      <c r="D279" s="38">
        <v>25</v>
      </c>
      <c r="E279" s="35" t="s">
        <v>2035</v>
      </c>
      <c r="F279" s="34">
        <f>IFERROR(_xlfn.XLOOKUP(E279,Index!$A:$A,Index!$B:$B),"")</f>
        <v>229</v>
      </c>
    </row>
    <row r="280" spans="2:11" x14ac:dyDescent="0.25">
      <c r="B280" s="26" t="s">
        <v>1964</v>
      </c>
      <c r="C280" s="125">
        <v>1</v>
      </c>
      <c r="D280" s="98">
        <v>25</v>
      </c>
      <c r="E280" s="35" t="s">
        <v>2035</v>
      </c>
      <c r="F280" s="34">
        <f>IFERROR(_xlfn.XLOOKUP(E280,Index!$A:$A,Index!$B:$B),"")</f>
        <v>229</v>
      </c>
    </row>
    <row r="281" spans="2:11" x14ac:dyDescent="0.25">
      <c r="B281" s="124"/>
      <c r="C281" s="64">
        <v>1.25</v>
      </c>
      <c r="D281" s="98">
        <v>32</v>
      </c>
      <c r="E281" s="35" t="s">
        <v>2036</v>
      </c>
      <c r="F281" s="34">
        <f>IFERROR(_xlfn.XLOOKUP(E281,Index!$A:$A,Index!$B:$B),"")</f>
        <v>503.5</v>
      </c>
    </row>
    <row r="282" spans="2:11" x14ac:dyDescent="0.25">
      <c r="B282" s="124"/>
      <c r="C282" s="64">
        <v>1.5</v>
      </c>
      <c r="D282" s="98">
        <v>40</v>
      </c>
      <c r="E282" s="35" t="s">
        <v>2036</v>
      </c>
      <c r="F282" s="34">
        <f>IFERROR(_xlfn.XLOOKUP(E282,Index!$A:$A,Index!$B:$B),"")</f>
        <v>503.5</v>
      </c>
    </row>
    <row r="283" spans="2:11" x14ac:dyDescent="0.25">
      <c r="B283" s="124"/>
      <c r="C283" s="64">
        <v>2</v>
      </c>
      <c r="D283" s="98">
        <v>50</v>
      </c>
      <c r="E283" s="35" t="s">
        <v>2037</v>
      </c>
      <c r="F283" s="34">
        <f>IFERROR(_xlfn.XLOOKUP(E283,Index!$A:$A,Index!$B:$B),"")</f>
        <v>503.5</v>
      </c>
    </row>
    <row r="284" spans="2:11" x14ac:dyDescent="0.25">
      <c r="B284" s="124"/>
      <c r="C284" s="64">
        <v>2.5</v>
      </c>
      <c r="D284" s="98">
        <v>65</v>
      </c>
      <c r="E284" s="35" t="s">
        <v>2038</v>
      </c>
      <c r="F284" s="34">
        <f>IFERROR(_xlfn.XLOOKUP(E284,Index!$A:$A,Index!$B:$B),"")</f>
        <v>686.5</v>
      </c>
    </row>
    <row r="285" spans="2:11" x14ac:dyDescent="0.25">
      <c r="B285" s="124"/>
      <c r="C285" s="64">
        <v>3</v>
      </c>
      <c r="D285" s="98">
        <v>80</v>
      </c>
      <c r="E285" s="35" t="s">
        <v>2038</v>
      </c>
      <c r="F285" s="34">
        <f>IFERROR(_xlfn.XLOOKUP(E285,Index!$A:$A,Index!$B:$B),"")</f>
        <v>686.5</v>
      </c>
    </row>
    <row r="286" spans="2:11" x14ac:dyDescent="0.25">
      <c r="B286" s="124"/>
      <c r="C286" s="64">
        <v>4</v>
      </c>
      <c r="D286" s="98">
        <v>100</v>
      </c>
      <c r="E286" s="35" t="s">
        <v>2039</v>
      </c>
      <c r="F286" s="34">
        <f>IFERROR(_xlfn.XLOOKUP(E286,Index!$A:$A,Index!$B:$B),"")</f>
        <v>1006</v>
      </c>
    </row>
    <row r="287" spans="2:11" x14ac:dyDescent="0.25">
      <c r="B287" s="124"/>
      <c r="C287" s="64">
        <v>5</v>
      </c>
      <c r="D287" s="98">
        <v>125</v>
      </c>
      <c r="E287" s="35" t="s">
        <v>2040</v>
      </c>
      <c r="F287" s="34">
        <f>IFERROR(_xlfn.XLOOKUP(E287,Index!$A:$A,Index!$B:$B),"")</f>
        <v>1372</v>
      </c>
    </row>
    <row r="288" spans="2:11" x14ac:dyDescent="0.25">
      <c r="B288" s="124"/>
      <c r="C288" s="64">
        <v>6</v>
      </c>
      <c r="D288" s="98">
        <v>150</v>
      </c>
      <c r="E288" s="35" t="s">
        <v>2040</v>
      </c>
      <c r="F288" s="34">
        <f>IFERROR(_xlfn.XLOOKUP(E288,Index!$A:$A,Index!$B:$B),"")</f>
        <v>1372</v>
      </c>
    </row>
    <row r="289" spans="2:6" x14ac:dyDescent="0.25">
      <c r="B289" s="124"/>
      <c r="C289" s="64">
        <v>8</v>
      </c>
      <c r="D289" s="98">
        <v>200</v>
      </c>
      <c r="E289" s="35" t="s">
        <v>2041</v>
      </c>
      <c r="F289" s="34">
        <f>IFERROR(_xlfn.XLOOKUP(E289,Index!$A:$A,Index!$B:$B),"")</f>
        <v>1372</v>
      </c>
    </row>
    <row r="290" spans="2:6" x14ac:dyDescent="0.25">
      <c r="B290" s="124"/>
      <c r="C290" s="64">
        <v>10</v>
      </c>
      <c r="D290" s="98">
        <v>250</v>
      </c>
      <c r="E290" s="35" t="s">
        <v>2042</v>
      </c>
      <c r="F290" s="34">
        <f>IFERROR(_xlfn.XLOOKUP(E290,Index!$A:$A,Index!$B:$B),"")</f>
        <v>1828</v>
      </c>
    </row>
    <row r="291" spans="2:6" x14ac:dyDescent="0.25">
      <c r="B291" s="124"/>
      <c r="C291" s="64">
        <v>12</v>
      </c>
      <c r="D291" s="98">
        <v>300</v>
      </c>
      <c r="E291" s="35" t="s">
        <v>2043</v>
      </c>
      <c r="F291" s="34">
        <f>IFERROR(_xlfn.XLOOKUP(E291,Index!$A:$A,Index!$B:$B),"")</f>
        <v>1828</v>
      </c>
    </row>
    <row r="292" spans="2:6" x14ac:dyDescent="0.25">
      <c r="B292" s="124"/>
      <c r="C292" s="64">
        <v>14</v>
      </c>
      <c r="D292" s="98">
        <v>350</v>
      </c>
      <c r="E292" s="35" t="s">
        <v>2044</v>
      </c>
      <c r="F292" s="34">
        <f>IFERROR(_xlfn.XLOOKUP(E292,Index!$A:$A,Index!$B:$B),"")</f>
        <v>2743</v>
      </c>
    </row>
    <row r="293" spans="2:6" x14ac:dyDescent="0.25">
      <c r="B293" s="120"/>
      <c r="C293" s="64">
        <v>16</v>
      </c>
      <c r="D293" s="98">
        <v>400</v>
      </c>
      <c r="E293" s="35" t="s">
        <v>2045</v>
      </c>
      <c r="F293" s="34">
        <f>IFERROR(_xlfn.XLOOKUP(E293,Index!$A:$A,Index!$B:$B),"")</f>
        <v>2743</v>
      </c>
    </row>
    <row r="294" spans="2:6" x14ac:dyDescent="0.25">
      <c r="B294" s="60" t="s">
        <v>2046</v>
      </c>
      <c r="C294" s="64">
        <v>0.75</v>
      </c>
      <c r="D294" s="38">
        <v>25</v>
      </c>
      <c r="E294" s="35" t="s">
        <v>2047</v>
      </c>
      <c r="F294" s="34">
        <f>IFERROR(_xlfn.XLOOKUP(E294,Index!$A:$A,Index!$B:$B),"")</f>
        <v>229</v>
      </c>
    </row>
    <row r="295" spans="2:6" x14ac:dyDescent="0.25">
      <c r="B295" s="26" t="s">
        <v>1964</v>
      </c>
      <c r="C295" s="125">
        <v>1</v>
      </c>
      <c r="D295" s="98">
        <v>25</v>
      </c>
      <c r="E295" s="35" t="s">
        <v>2047</v>
      </c>
      <c r="F295" s="34">
        <f>IFERROR(_xlfn.XLOOKUP(E295,Index!$A:$A,Index!$B:$B),"")</f>
        <v>229</v>
      </c>
    </row>
    <row r="296" spans="2:6" x14ac:dyDescent="0.25">
      <c r="B296" s="124"/>
      <c r="C296" s="64">
        <v>1.25</v>
      </c>
      <c r="D296" s="98">
        <v>32</v>
      </c>
      <c r="E296" s="35" t="s">
        <v>2048</v>
      </c>
      <c r="F296" s="34">
        <f>IFERROR(_xlfn.XLOOKUP(E296,Index!$A:$A,Index!$B:$B),"")</f>
        <v>503.5</v>
      </c>
    </row>
    <row r="297" spans="2:6" x14ac:dyDescent="0.25">
      <c r="B297" s="124"/>
      <c r="C297" s="64">
        <v>1.5</v>
      </c>
      <c r="D297" s="98">
        <v>40</v>
      </c>
      <c r="E297" s="35" t="s">
        <v>2048</v>
      </c>
      <c r="F297" s="34">
        <f>IFERROR(_xlfn.XLOOKUP(E297,Index!$A:$A,Index!$B:$B),"")</f>
        <v>503.5</v>
      </c>
    </row>
    <row r="298" spans="2:6" x14ac:dyDescent="0.25">
      <c r="B298" s="124"/>
      <c r="C298" s="64">
        <v>2</v>
      </c>
      <c r="D298" s="98">
        <v>50</v>
      </c>
      <c r="E298" s="35" t="s">
        <v>2049</v>
      </c>
      <c r="F298" s="34">
        <f>IFERROR(_xlfn.XLOOKUP(E298,Index!$A:$A,Index!$B:$B),"")</f>
        <v>503.5</v>
      </c>
    </row>
    <row r="299" spans="2:6" x14ac:dyDescent="0.25">
      <c r="B299" s="124"/>
      <c r="C299" s="64">
        <v>2.5</v>
      </c>
      <c r="D299" s="98">
        <v>65</v>
      </c>
      <c r="E299" s="35" t="s">
        <v>2050</v>
      </c>
      <c r="F299" s="34">
        <f>IFERROR(_xlfn.XLOOKUP(E299,Index!$A:$A,Index!$B:$B),"")</f>
        <v>686.5</v>
      </c>
    </row>
    <row r="300" spans="2:6" x14ac:dyDescent="0.25">
      <c r="B300" s="124"/>
      <c r="C300" s="64">
        <v>3</v>
      </c>
      <c r="D300" s="98">
        <v>80</v>
      </c>
      <c r="E300" s="35" t="s">
        <v>2050</v>
      </c>
      <c r="F300" s="34">
        <f>IFERROR(_xlfn.XLOOKUP(E300,Index!$A:$A,Index!$B:$B),"")</f>
        <v>686.5</v>
      </c>
    </row>
    <row r="301" spans="2:6" x14ac:dyDescent="0.25">
      <c r="B301" s="124"/>
      <c r="C301" s="64">
        <v>4</v>
      </c>
      <c r="D301" s="98">
        <v>100</v>
      </c>
      <c r="E301" s="35" t="s">
        <v>2051</v>
      </c>
      <c r="F301" s="34">
        <f>IFERROR(_xlfn.XLOOKUP(E301,Index!$A:$A,Index!$B:$B),"")</f>
        <v>1006</v>
      </c>
    </row>
    <row r="302" spans="2:6" x14ac:dyDescent="0.25">
      <c r="B302" s="124"/>
      <c r="C302" s="64">
        <v>5</v>
      </c>
      <c r="D302" s="98">
        <v>125</v>
      </c>
      <c r="E302" s="35" t="s">
        <v>2052</v>
      </c>
      <c r="F302" s="34">
        <f>IFERROR(_xlfn.XLOOKUP(E302,Index!$A:$A,Index!$B:$B),"")</f>
        <v>1372</v>
      </c>
    </row>
    <row r="303" spans="2:6" x14ac:dyDescent="0.25">
      <c r="B303" s="124"/>
      <c r="C303" s="64">
        <v>6</v>
      </c>
      <c r="D303" s="98">
        <v>150</v>
      </c>
      <c r="E303" s="35" t="s">
        <v>2052</v>
      </c>
      <c r="F303" s="34">
        <f>IFERROR(_xlfn.XLOOKUP(E303,Index!$A:$A,Index!$B:$B),"")</f>
        <v>1372</v>
      </c>
    </row>
    <row r="304" spans="2:6" x14ac:dyDescent="0.25">
      <c r="B304" s="124"/>
      <c r="C304" s="64">
        <v>8</v>
      </c>
      <c r="D304" s="98">
        <v>200</v>
      </c>
      <c r="E304" s="35" t="s">
        <v>2053</v>
      </c>
      <c r="F304" s="34">
        <f>IFERROR(_xlfn.XLOOKUP(E304,Index!$A:$A,Index!$B:$B),"")</f>
        <v>1372</v>
      </c>
    </row>
    <row r="305" spans="1:6" x14ac:dyDescent="0.25">
      <c r="B305" s="124"/>
      <c r="C305" s="64">
        <v>10</v>
      </c>
      <c r="D305" s="98">
        <v>250</v>
      </c>
      <c r="E305" s="35" t="s">
        <v>2054</v>
      </c>
      <c r="F305" s="34">
        <f>IFERROR(_xlfn.XLOOKUP(E305,Index!$A:$A,Index!$B:$B),"")</f>
        <v>1828</v>
      </c>
    </row>
    <row r="306" spans="1:6" x14ac:dyDescent="0.25">
      <c r="B306" s="124"/>
      <c r="C306" s="64">
        <v>12</v>
      </c>
      <c r="D306" s="98">
        <v>300</v>
      </c>
      <c r="E306" s="35" t="s">
        <v>2055</v>
      </c>
      <c r="F306" s="34">
        <f>IFERROR(_xlfn.XLOOKUP(E306,Index!$A:$A,Index!$B:$B),"")</f>
        <v>1828</v>
      </c>
    </row>
    <row r="307" spans="1:6" x14ac:dyDescent="0.25">
      <c r="B307" s="124"/>
      <c r="C307" s="64">
        <v>14</v>
      </c>
      <c r="D307" s="98">
        <v>350</v>
      </c>
      <c r="E307" s="35" t="s">
        <v>2056</v>
      </c>
      <c r="F307" s="34">
        <f>IFERROR(_xlfn.XLOOKUP(E307,Index!$A:$A,Index!$B:$B),"")</f>
        <v>2743</v>
      </c>
    </row>
    <row r="308" spans="1:6" x14ac:dyDescent="0.25">
      <c r="B308" s="120"/>
      <c r="C308" s="64">
        <v>16</v>
      </c>
      <c r="D308" s="98">
        <v>400</v>
      </c>
      <c r="E308" s="35" t="s">
        <v>2057</v>
      </c>
      <c r="F308" s="34">
        <f>IFERROR(_xlfn.XLOOKUP(E308,Index!$A:$A,Index!$B:$B),"")</f>
        <v>2743</v>
      </c>
    </row>
    <row r="309" spans="1:6" x14ac:dyDescent="0.25">
      <c r="B309" s="60" t="s">
        <v>5580</v>
      </c>
      <c r="C309" s="64">
        <v>0.75</v>
      </c>
      <c r="D309" s="38">
        <v>25</v>
      </c>
      <c r="E309" s="35" t="s">
        <v>2058</v>
      </c>
      <c r="F309" s="34">
        <f>IFERROR(_xlfn.XLOOKUP(E309,Index!$A:$A,Index!$B:$B),"")</f>
        <v>1028</v>
      </c>
    </row>
    <row r="310" spans="1:6" x14ac:dyDescent="0.25">
      <c r="B310" s="26" t="s">
        <v>1964</v>
      </c>
      <c r="C310" s="125">
        <v>1</v>
      </c>
      <c r="D310" s="98">
        <v>25</v>
      </c>
      <c r="E310" s="35" t="s">
        <v>2058</v>
      </c>
      <c r="F310" s="34">
        <f>IFERROR(_xlfn.XLOOKUP(E310,Index!$A:$A,Index!$B:$B),"")</f>
        <v>1028</v>
      </c>
    </row>
    <row r="311" spans="1:6" x14ac:dyDescent="0.25">
      <c r="B311" s="124"/>
      <c r="C311" s="64">
        <v>1.25</v>
      </c>
      <c r="D311" s="98">
        <v>32</v>
      </c>
      <c r="E311" s="35" t="s">
        <v>2059</v>
      </c>
      <c r="F311" s="34">
        <f>IFERROR(_xlfn.XLOOKUP(E311,Index!$A:$A,Index!$B:$B),"")</f>
        <v>1780</v>
      </c>
    </row>
    <row r="312" spans="1:6" x14ac:dyDescent="0.25">
      <c r="B312" s="124"/>
      <c r="C312" s="64">
        <v>1.5</v>
      </c>
      <c r="D312" s="98">
        <v>40</v>
      </c>
      <c r="E312" s="35" t="s">
        <v>2059</v>
      </c>
      <c r="F312" s="34">
        <f>IFERROR(_xlfn.XLOOKUP(E312,Index!$A:$A,Index!$B:$B),"")</f>
        <v>1780</v>
      </c>
    </row>
    <row r="313" spans="1:6" x14ac:dyDescent="0.25">
      <c r="B313" s="124"/>
      <c r="C313" s="64">
        <v>2</v>
      </c>
      <c r="D313" s="98">
        <v>50</v>
      </c>
      <c r="E313" s="35" t="s">
        <v>2060</v>
      </c>
      <c r="F313" s="34">
        <f>IFERROR(_xlfn.XLOOKUP(E313,Index!$A:$A,Index!$B:$B),"")</f>
        <v>3123</v>
      </c>
    </row>
    <row r="314" spans="1:6" x14ac:dyDescent="0.25">
      <c r="B314" s="124"/>
      <c r="C314" s="64">
        <v>2.5</v>
      </c>
      <c r="D314" s="98">
        <v>65</v>
      </c>
      <c r="E314" s="35" t="s">
        <v>2061</v>
      </c>
      <c r="F314" s="34">
        <f>IFERROR(_xlfn.XLOOKUP(E314,Index!$A:$A,Index!$B:$B),"")</f>
        <v>2860</v>
      </c>
    </row>
    <row r="315" spans="1:6" x14ac:dyDescent="0.25">
      <c r="B315" s="124"/>
      <c r="C315" s="64">
        <v>3</v>
      </c>
      <c r="D315" s="98">
        <v>80</v>
      </c>
      <c r="E315" s="35" t="s">
        <v>2061</v>
      </c>
      <c r="F315" s="34">
        <f>IFERROR(_xlfn.XLOOKUP(E315,Index!$A:$A,Index!$B:$B),"")</f>
        <v>2860</v>
      </c>
    </row>
    <row r="316" spans="1:6" x14ac:dyDescent="0.25">
      <c r="B316" s="124"/>
      <c r="C316" s="64">
        <v>4</v>
      </c>
      <c r="D316" s="98">
        <v>100</v>
      </c>
      <c r="E316" s="35" t="s">
        <v>2062</v>
      </c>
      <c r="F316" s="34">
        <f>IFERROR(_xlfn.XLOOKUP(E316,Index!$A:$A,Index!$B:$B),"")</f>
        <v>5633</v>
      </c>
    </row>
    <row r="317" spans="1:6" x14ac:dyDescent="0.25">
      <c r="B317" s="124"/>
      <c r="C317" s="64">
        <v>5</v>
      </c>
      <c r="D317" s="98">
        <v>125</v>
      </c>
      <c r="E317" s="35" t="s">
        <v>2063</v>
      </c>
      <c r="F317" s="34">
        <f>IFERROR(_xlfn.XLOOKUP(E317,Index!$A:$A,Index!$B:$B),"")</f>
        <v>7843</v>
      </c>
    </row>
    <row r="318" spans="1:6" x14ac:dyDescent="0.25">
      <c r="A318" s="126"/>
      <c r="B318" s="120"/>
      <c r="C318" s="64">
        <v>6</v>
      </c>
      <c r="D318" s="98">
        <v>150</v>
      </c>
      <c r="E318" s="35" t="s">
        <v>2063</v>
      </c>
      <c r="F318" s="34">
        <f>IFERROR(_xlfn.XLOOKUP(E318,Index!$A:$A,Index!$B:$B),"")</f>
        <v>7843</v>
      </c>
    </row>
    <row r="319" spans="1:6" x14ac:dyDescent="0.25">
      <c r="B319" s="60" t="s">
        <v>6343</v>
      </c>
      <c r="C319" s="64">
        <v>0.75</v>
      </c>
      <c r="D319" s="38">
        <v>25</v>
      </c>
      <c r="E319" s="35" t="s">
        <v>6345</v>
      </c>
      <c r="F319" s="34">
        <f>IFERROR(_xlfn.XLOOKUP(E319,Index!$A:$A,Index!$B:$B),"")</f>
        <v>575</v>
      </c>
    </row>
    <row r="320" spans="1:6" x14ac:dyDescent="0.25">
      <c r="B320" s="26" t="s">
        <v>1951</v>
      </c>
      <c r="C320" s="125">
        <v>1</v>
      </c>
      <c r="D320" s="98">
        <v>25</v>
      </c>
      <c r="E320" s="35" t="s">
        <v>6345</v>
      </c>
      <c r="F320" s="34">
        <f>IFERROR(_xlfn.XLOOKUP(E320,Index!$A:$A,Index!$B:$B),"")</f>
        <v>575</v>
      </c>
    </row>
    <row r="321" spans="1:6" x14ac:dyDescent="0.25">
      <c r="B321" s="124"/>
      <c r="C321" s="64">
        <v>1.25</v>
      </c>
      <c r="D321" s="98">
        <v>32</v>
      </c>
      <c r="E321" s="35" t="s">
        <v>6346</v>
      </c>
      <c r="F321" s="34">
        <f>IFERROR(_xlfn.XLOOKUP(E321,Index!$A:$A,Index!$B:$B),"")</f>
        <v>631.5</v>
      </c>
    </row>
    <row r="322" spans="1:6" x14ac:dyDescent="0.25">
      <c r="B322" s="124"/>
      <c r="C322" s="64">
        <v>1.5</v>
      </c>
      <c r="D322" s="98">
        <v>40</v>
      </c>
      <c r="E322" s="35" t="s">
        <v>6346</v>
      </c>
      <c r="F322" s="34">
        <f>IFERROR(_xlfn.XLOOKUP(E322,Index!$A:$A,Index!$B:$B),"")</f>
        <v>631.5</v>
      </c>
    </row>
    <row r="323" spans="1:6" x14ac:dyDescent="0.25">
      <c r="B323" s="124"/>
      <c r="C323" s="64">
        <v>2</v>
      </c>
      <c r="D323" s="98">
        <v>50</v>
      </c>
      <c r="E323" s="35" t="s">
        <v>6347</v>
      </c>
      <c r="F323" s="34">
        <f>IFERROR(_xlfn.XLOOKUP(E323,Index!$A:$A,Index!$B:$B),"")</f>
        <v>704.5</v>
      </c>
    </row>
    <row r="324" spans="1:6" x14ac:dyDescent="0.25">
      <c r="B324" s="124"/>
      <c r="C324" s="64">
        <v>2.5</v>
      </c>
      <c r="D324" s="98">
        <v>65</v>
      </c>
      <c r="E324" s="35" t="s">
        <v>6348</v>
      </c>
      <c r="F324" s="34">
        <f>IFERROR(_xlfn.XLOOKUP(E324,Index!$A:$A,Index!$B:$B),"")</f>
        <v>814</v>
      </c>
    </row>
    <row r="325" spans="1:6" x14ac:dyDescent="0.25">
      <c r="B325" s="124"/>
      <c r="C325" s="64">
        <v>3</v>
      </c>
      <c r="D325" s="98">
        <v>80</v>
      </c>
      <c r="E325" s="35" t="s">
        <v>6348</v>
      </c>
      <c r="F325" s="34">
        <f>IFERROR(_xlfn.XLOOKUP(E325,Index!$A:$A,Index!$B:$B),"")</f>
        <v>814</v>
      </c>
    </row>
    <row r="326" spans="1:6" x14ac:dyDescent="0.25">
      <c r="A326" s="126"/>
      <c r="B326" s="124"/>
      <c r="C326" s="64">
        <v>4</v>
      </c>
      <c r="D326" s="98">
        <v>100</v>
      </c>
      <c r="E326" s="35" t="s">
        <v>6349</v>
      </c>
      <c r="F326" s="34">
        <f>IFERROR(_xlfn.XLOOKUP(E326,Index!$A:$A,Index!$B:$B),"")</f>
        <v>1082</v>
      </c>
    </row>
    <row r="327" spans="1:6" x14ac:dyDescent="0.25">
      <c r="B327" s="60" t="s">
        <v>6344</v>
      </c>
      <c r="C327" s="64">
        <v>5</v>
      </c>
      <c r="D327" s="98">
        <v>125</v>
      </c>
      <c r="E327" s="35" t="s">
        <v>6350</v>
      </c>
      <c r="F327" s="34">
        <f>IFERROR(_xlfn.XLOOKUP(E327,Index!$A:$A,Index!$B:$B),"")</f>
        <v>1138</v>
      </c>
    </row>
    <row r="328" spans="1:6" x14ac:dyDescent="0.25">
      <c r="B328" s="26" t="s">
        <v>1951</v>
      </c>
      <c r="C328" s="64">
        <v>6</v>
      </c>
      <c r="D328" s="98">
        <v>150</v>
      </c>
      <c r="E328" s="35" t="s">
        <v>6350</v>
      </c>
      <c r="F328" s="34">
        <f>IFERROR(_xlfn.XLOOKUP(E328,Index!$A:$A,Index!$B:$B),"")</f>
        <v>1138</v>
      </c>
    </row>
    <row r="329" spans="1:6" x14ac:dyDescent="0.25">
      <c r="B329" s="124"/>
      <c r="C329" s="64">
        <v>8</v>
      </c>
      <c r="D329" s="98">
        <v>200</v>
      </c>
      <c r="E329" s="35" t="s">
        <v>6351</v>
      </c>
      <c r="F329" s="34">
        <f>IFERROR(_xlfn.XLOOKUP(E329,Index!$A:$A,Index!$B:$B),"")</f>
        <v>3659</v>
      </c>
    </row>
    <row r="330" spans="1:6" x14ac:dyDescent="0.25">
      <c r="B330" s="124"/>
      <c r="C330" s="64">
        <v>10</v>
      </c>
      <c r="D330" s="98">
        <v>250</v>
      </c>
      <c r="E330" s="35" t="s">
        <v>6352</v>
      </c>
      <c r="F330" s="34">
        <f>IFERROR(_xlfn.XLOOKUP(E330,Index!$A:$A,Index!$B:$B),"")</f>
        <v>4509</v>
      </c>
    </row>
    <row r="331" spans="1:6" x14ac:dyDescent="0.25">
      <c r="B331" s="124"/>
      <c r="C331" s="64">
        <v>12</v>
      </c>
      <c r="D331" s="98">
        <v>300</v>
      </c>
      <c r="E331" s="35" t="s">
        <v>6353</v>
      </c>
      <c r="F331" s="34">
        <f>IFERROR(_xlfn.XLOOKUP(E331,Index!$A:$A,Index!$B:$B),"")</f>
        <v>5158</v>
      </c>
    </row>
    <row r="332" spans="1:6" x14ac:dyDescent="0.25">
      <c r="B332" s="124"/>
      <c r="C332" s="64">
        <v>14</v>
      </c>
      <c r="D332" s="98">
        <v>350</v>
      </c>
      <c r="E332" s="35" t="s">
        <v>6354</v>
      </c>
      <c r="F332" s="34">
        <f>IFERROR(_xlfn.XLOOKUP(E332,Index!$A:$A,Index!$B:$B),"")</f>
        <v>5408</v>
      </c>
    </row>
    <row r="333" spans="1:6" x14ac:dyDescent="0.25">
      <c r="A333" s="126"/>
      <c r="B333" s="120"/>
      <c r="C333" s="64">
        <v>16</v>
      </c>
      <c r="D333" s="98">
        <v>400</v>
      </c>
      <c r="E333" s="35" t="s">
        <v>6355</v>
      </c>
      <c r="F333" s="34">
        <f>IFERROR(_xlfn.XLOOKUP(E333,Index!$A:$A,Index!$B:$B),"")</f>
        <v>6299</v>
      </c>
    </row>
  </sheetData>
  <mergeCells count="25">
    <mergeCell ref="H98:I98"/>
    <mergeCell ref="H113:I113"/>
    <mergeCell ref="H40:I40"/>
    <mergeCell ref="H60:I60"/>
    <mergeCell ref="I83:J83"/>
    <mergeCell ref="G83:H83"/>
    <mergeCell ref="H4:I4"/>
    <mergeCell ref="H16:I16"/>
    <mergeCell ref="I30:J30"/>
    <mergeCell ref="G30:H30"/>
    <mergeCell ref="E30:F30"/>
    <mergeCell ref="C147:D147"/>
    <mergeCell ref="D113:E113"/>
    <mergeCell ref="F113:G113"/>
    <mergeCell ref="D4:E4"/>
    <mergeCell ref="F4:G4"/>
    <mergeCell ref="D16:E16"/>
    <mergeCell ref="F16:G16"/>
    <mergeCell ref="D40:E40"/>
    <mergeCell ref="F40:G40"/>
    <mergeCell ref="D60:E60"/>
    <mergeCell ref="F60:G60"/>
    <mergeCell ref="D98:E98"/>
    <mergeCell ref="F98:G98"/>
    <mergeCell ref="E83:F83"/>
  </mergeCells>
  <conditionalFormatting sqref="D148">
    <cfRule type="expression" dxfId="469" priority="181">
      <formula>D148="Not a valid item #"</formula>
    </cfRule>
    <cfRule type="expression" dxfId="468" priority="182">
      <formula>D148="Not in NPSLS"</formula>
    </cfRule>
    <cfRule type="expression" dxfId="467" priority="183">
      <formula>D148="Obsolete"</formula>
    </cfRule>
    <cfRule type="expression" dxfId="466" priority="184">
      <formula>D148=""</formula>
    </cfRule>
    <cfRule type="expression" dxfId="465" priority="185">
      <formula>D148="List Price"</formula>
    </cfRule>
  </conditionalFormatting>
  <conditionalFormatting sqref="D150:D163">
    <cfRule type="expression" dxfId="464" priority="166">
      <formula>D150="Not a valid item #"</formula>
    </cfRule>
    <cfRule type="expression" dxfId="463" priority="167">
      <formula>D150="Not in NPSLS"</formula>
    </cfRule>
    <cfRule type="expression" dxfId="462" priority="168">
      <formula>D150="Obsolete"</formula>
    </cfRule>
    <cfRule type="expression" dxfId="461" priority="169">
      <formula>D150=""</formula>
    </cfRule>
    <cfRule type="expression" dxfId="460" priority="170">
      <formula>D150="List Price"</formula>
    </cfRule>
  </conditionalFormatting>
  <conditionalFormatting sqref="D165:D178">
    <cfRule type="expression" dxfId="459" priority="151">
      <formula>D165="Not a valid item #"</formula>
    </cfRule>
    <cfRule type="expression" dxfId="458" priority="152">
      <formula>D165="Not in NPSLS"</formula>
    </cfRule>
    <cfRule type="expression" dxfId="457" priority="153">
      <formula>D165="Obsolete"</formula>
    </cfRule>
    <cfRule type="expression" dxfId="456" priority="154">
      <formula>D165=""</formula>
    </cfRule>
    <cfRule type="expression" dxfId="455" priority="155">
      <formula>D165="List Price"</formula>
    </cfRule>
  </conditionalFormatting>
  <conditionalFormatting sqref="D180:D193">
    <cfRule type="expression" dxfId="454" priority="136">
      <formula>D180="Not a valid item #"</formula>
    </cfRule>
    <cfRule type="expression" dxfId="453" priority="137">
      <formula>D180="Not in NPSLS"</formula>
    </cfRule>
    <cfRule type="expression" dxfId="452" priority="138">
      <formula>D180="Obsolete"</formula>
    </cfRule>
    <cfRule type="expression" dxfId="451" priority="139">
      <formula>D180=""</formula>
    </cfRule>
    <cfRule type="expression" dxfId="450" priority="140">
      <formula>D180="List Price"</formula>
    </cfRule>
  </conditionalFormatting>
  <conditionalFormatting sqref="D195:D208">
    <cfRule type="expression" dxfId="449" priority="121">
      <formula>D195="Not a valid item #"</formula>
    </cfRule>
    <cfRule type="expression" dxfId="448" priority="122">
      <formula>D195="Not in NPSLS"</formula>
    </cfRule>
    <cfRule type="expression" dxfId="447" priority="123">
      <formula>D195="Obsolete"</formula>
    </cfRule>
    <cfRule type="expression" dxfId="446" priority="124">
      <formula>D195=""</formula>
    </cfRule>
    <cfRule type="expression" dxfId="445" priority="125">
      <formula>D195="List Price"</formula>
    </cfRule>
  </conditionalFormatting>
  <conditionalFormatting sqref="D210:D218">
    <cfRule type="expression" dxfId="444" priority="106">
      <formula>D210="Not a valid item #"</formula>
    </cfRule>
    <cfRule type="expression" dxfId="443" priority="107">
      <formula>D210="Not in NPSLS"</formula>
    </cfRule>
    <cfRule type="expression" dxfId="442" priority="108">
      <formula>D210="Obsolete"</formula>
    </cfRule>
    <cfRule type="expression" dxfId="441" priority="109">
      <formula>D210=""</formula>
    </cfRule>
    <cfRule type="expression" dxfId="440" priority="110">
      <formula>D210="List Price"</formula>
    </cfRule>
  </conditionalFormatting>
  <conditionalFormatting sqref="D220:D233">
    <cfRule type="expression" dxfId="439" priority="91">
      <formula>D220="Not a valid item #"</formula>
    </cfRule>
    <cfRule type="expression" dxfId="438" priority="92">
      <formula>D220="Not in NPSLS"</formula>
    </cfRule>
    <cfRule type="expression" dxfId="437" priority="93">
      <formula>D220="Obsolete"</formula>
    </cfRule>
    <cfRule type="expression" dxfId="436" priority="94">
      <formula>D220=""</formula>
    </cfRule>
    <cfRule type="expression" dxfId="435" priority="95">
      <formula>D220="List Price"</formula>
    </cfRule>
  </conditionalFormatting>
  <conditionalFormatting sqref="D235:D243">
    <cfRule type="expression" dxfId="434" priority="81">
      <formula>D235="Not a valid item #"</formula>
    </cfRule>
    <cfRule type="expression" dxfId="433" priority="82">
      <formula>D235="Not in NPSLS"</formula>
    </cfRule>
    <cfRule type="expression" dxfId="432" priority="83">
      <formula>D235="Obsolete"</formula>
    </cfRule>
    <cfRule type="expression" dxfId="431" priority="84">
      <formula>D235=""</formula>
    </cfRule>
    <cfRule type="expression" dxfId="430" priority="85">
      <formula>D235="List Price"</formula>
    </cfRule>
  </conditionalFormatting>
  <conditionalFormatting sqref="D245:D253">
    <cfRule type="expression" dxfId="429" priority="71">
      <formula>D245="Not a valid item #"</formula>
    </cfRule>
    <cfRule type="expression" dxfId="428" priority="72">
      <formula>D245="Not in NPSLS"</formula>
    </cfRule>
    <cfRule type="expression" dxfId="427" priority="73">
      <formula>D245="Obsolete"</formula>
    </cfRule>
    <cfRule type="expression" dxfId="426" priority="74">
      <formula>D245=""</formula>
    </cfRule>
    <cfRule type="expression" dxfId="425" priority="75">
      <formula>D245="List Price"</formula>
    </cfRule>
  </conditionalFormatting>
  <conditionalFormatting sqref="D255:D263">
    <cfRule type="expression" dxfId="424" priority="61">
      <formula>D255="Not a valid item #"</formula>
    </cfRule>
    <cfRule type="expression" dxfId="423" priority="62">
      <formula>D255="Not in NPSLS"</formula>
    </cfRule>
    <cfRule type="expression" dxfId="422" priority="63">
      <formula>D255="Obsolete"</formula>
    </cfRule>
    <cfRule type="expression" dxfId="421" priority="64">
      <formula>D255=""</formula>
    </cfRule>
    <cfRule type="expression" dxfId="420" priority="65">
      <formula>D255="List Price"</formula>
    </cfRule>
  </conditionalFormatting>
  <conditionalFormatting sqref="D265:D278">
    <cfRule type="expression" dxfId="419" priority="46">
      <formula>D265="Not a valid item #"</formula>
    </cfRule>
    <cfRule type="expression" dxfId="418" priority="47">
      <formula>D265="Not in NPSLS"</formula>
    </cfRule>
    <cfRule type="expression" dxfId="417" priority="48">
      <formula>D265="Obsolete"</formula>
    </cfRule>
    <cfRule type="expression" dxfId="416" priority="49">
      <formula>D265=""</formula>
    </cfRule>
    <cfRule type="expression" dxfId="415" priority="50">
      <formula>D265="List Price"</formula>
    </cfRule>
  </conditionalFormatting>
  <conditionalFormatting sqref="D280:D293">
    <cfRule type="expression" dxfId="414" priority="31">
      <formula>D280="Not a valid item #"</formula>
    </cfRule>
    <cfRule type="expression" dxfId="413" priority="32">
      <formula>D280="Not in NPSLS"</formula>
    </cfRule>
    <cfRule type="expression" dxfId="412" priority="33">
      <formula>D280="Obsolete"</formula>
    </cfRule>
    <cfRule type="expression" dxfId="411" priority="34">
      <formula>D280=""</formula>
    </cfRule>
    <cfRule type="expression" dxfId="410" priority="35">
      <formula>D280="List Price"</formula>
    </cfRule>
  </conditionalFormatting>
  <conditionalFormatting sqref="D295:D308">
    <cfRule type="expression" dxfId="409" priority="16">
      <formula>D295="Not a valid item #"</formula>
    </cfRule>
    <cfRule type="expression" dxfId="408" priority="17">
      <formula>D295="Not in NPSLS"</formula>
    </cfRule>
    <cfRule type="expression" dxfId="407" priority="18">
      <formula>D295="Obsolete"</formula>
    </cfRule>
    <cfRule type="expression" dxfId="406" priority="19">
      <formula>D295=""</formula>
    </cfRule>
    <cfRule type="expression" dxfId="405" priority="20">
      <formula>D295="List Price"</formula>
    </cfRule>
  </conditionalFormatting>
  <conditionalFormatting sqref="D310:D318">
    <cfRule type="expression" dxfId="404" priority="6">
      <formula>D310="Not a valid item #"</formula>
    </cfRule>
    <cfRule type="expression" dxfId="403" priority="7">
      <formula>D310="Not in NPSLS"</formula>
    </cfRule>
    <cfRule type="expression" dxfId="402" priority="8">
      <formula>D310="Obsolete"</formula>
    </cfRule>
    <cfRule type="expression" dxfId="401" priority="9">
      <formula>D310=""</formula>
    </cfRule>
    <cfRule type="expression" dxfId="400" priority="10">
      <formula>D310="List Price"</formula>
    </cfRule>
  </conditionalFormatting>
  <conditionalFormatting sqref="D320:D333">
    <cfRule type="expression" dxfId="399" priority="1">
      <formula>D320="Not a valid item #"</formula>
    </cfRule>
    <cfRule type="expression" dxfId="398" priority="2">
      <formula>D320="Not in NPSLS"</formula>
    </cfRule>
    <cfRule type="expression" dxfId="397" priority="3">
      <formula>D320="Obsolete"</formula>
    </cfRule>
    <cfRule type="expression" dxfId="396" priority="4">
      <formula>D320=""</formula>
    </cfRule>
    <cfRule type="expression" dxfId="395" priority="5">
      <formula>D320="List Price"</formula>
    </cfRule>
  </conditionalFormatting>
  <conditionalFormatting sqref="F145:F146">
    <cfRule type="expression" dxfId="394" priority="186">
      <formula>F145="Not a valid item #"</formula>
    </cfRule>
    <cfRule type="expression" dxfId="393" priority="187">
      <formula>F145="Not in NPSLS"</formula>
    </cfRule>
    <cfRule type="expression" dxfId="392" priority="188">
      <formula>F145="Obsolete"</formula>
    </cfRule>
    <cfRule type="expression" dxfId="391" priority="189">
      <formula>F145=""</formula>
    </cfRule>
    <cfRule type="expression" dxfId="390" priority="190">
      <formula>F145="List Price"</formula>
    </cfRule>
  </conditionalFormatting>
  <conditionalFormatting sqref="G2:G3 G38:G39 G41:G55 G61:G79 G99:G109">
    <cfRule type="expression" dxfId="389" priority="241">
      <formula>G2="Not a valid item #"</formula>
    </cfRule>
    <cfRule type="expression" dxfId="388" priority="242">
      <formula>G2="Not in NPSLS"</formula>
    </cfRule>
    <cfRule type="expression" dxfId="387" priority="243">
      <formula>G2="Obsolete"</formula>
    </cfRule>
    <cfRule type="expression" dxfId="386" priority="244">
      <formula>G2=""</formula>
    </cfRule>
    <cfRule type="expression" dxfId="385" priority="245">
      <formula>G2="List Price"</formula>
    </cfRule>
  </conditionalFormatting>
  <conditionalFormatting sqref="G5:G15">
    <cfRule type="expression" dxfId="384" priority="196">
      <formula>G5="Not a valid item #"</formula>
    </cfRule>
    <cfRule type="expression" dxfId="383" priority="197">
      <formula>G5="Not in NPSLS"</formula>
    </cfRule>
    <cfRule type="expression" dxfId="382" priority="198">
      <formula>G5="Obsolete"</formula>
    </cfRule>
    <cfRule type="expression" dxfId="381" priority="199">
      <formula>G5=""</formula>
    </cfRule>
    <cfRule type="expression" dxfId="380" priority="200">
      <formula>G5="List Price"</formula>
    </cfRule>
  </conditionalFormatting>
  <conditionalFormatting sqref="G17:G29 H31:H37">
    <cfRule type="expression" dxfId="379" priority="191">
      <formula>G17="Not a valid item #"</formula>
    </cfRule>
    <cfRule type="expression" dxfId="378" priority="192">
      <formula>G17="Not in NPSLS"</formula>
    </cfRule>
    <cfRule type="expression" dxfId="377" priority="193">
      <formula>G17="Obsolete"</formula>
    </cfRule>
    <cfRule type="expression" dxfId="376" priority="194">
      <formula>G17=""</formula>
    </cfRule>
    <cfRule type="expression" dxfId="375" priority="195">
      <formula>G17="List Price"</formula>
    </cfRule>
  </conditionalFormatting>
  <conditionalFormatting sqref="G57:G59">
    <cfRule type="expression" dxfId="374" priority="231">
      <formula>G57="Not a valid item #"</formula>
    </cfRule>
    <cfRule type="expression" dxfId="373" priority="232">
      <formula>G57="Not in NPSLS"</formula>
    </cfRule>
    <cfRule type="expression" dxfId="372" priority="233">
      <formula>G57="Obsolete"</formula>
    </cfRule>
    <cfRule type="expression" dxfId="371" priority="234">
      <formula>G57=""</formula>
    </cfRule>
    <cfRule type="expression" dxfId="370" priority="235">
      <formula>G57="List Price"</formula>
    </cfRule>
  </conditionalFormatting>
  <conditionalFormatting sqref="G81:G82 H84:H94">
    <cfRule type="expression" dxfId="369" priority="226">
      <formula>G81="Not a valid item #"</formula>
    </cfRule>
    <cfRule type="expression" dxfId="368" priority="227">
      <formula>G81="Not in NPSLS"</formula>
    </cfRule>
    <cfRule type="expression" dxfId="367" priority="228">
      <formula>G81="Obsolete"</formula>
    </cfRule>
    <cfRule type="expression" dxfId="366" priority="229">
      <formula>G81=""</formula>
    </cfRule>
    <cfRule type="expression" dxfId="365" priority="230">
      <formula>G81="List Price"</formula>
    </cfRule>
  </conditionalFormatting>
  <conditionalFormatting sqref="G96:G97">
    <cfRule type="expression" dxfId="364" priority="221">
      <formula>G96="Not a valid item #"</formula>
    </cfRule>
    <cfRule type="expression" dxfId="363" priority="222">
      <formula>G96="Not in NPSLS"</formula>
    </cfRule>
    <cfRule type="expression" dxfId="362" priority="223">
      <formula>G96="Obsolete"</formula>
    </cfRule>
    <cfRule type="expression" dxfId="361" priority="224">
      <formula>G96=""</formula>
    </cfRule>
    <cfRule type="expression" dxfId="360" priority="225">
      <formula>G96="List Price"</formula>
    </cfRule>
  </conditionalFormatting>
  <conditionalFormatting sqref="G111:G112">
    <cfRule type="expression" dxfId="359" priority="211">
      <formula>G111="Not a valid item #"</formula>
    </cfRule>
    <cfRule type="expression" dxfId="358" priority="212">
      <formula>G111="Not in NPSLS"</formula>
    </cfRule>
    <cfRule type="expression" dxfId="357" priority="213">
      <formula>G111="Obsolete"</formula>
    </cfRule>
    <cfRule type="expression" dxfId="356" priority="214">
      <formula>G111=""</formula>
    </cfRule>
    <cfRule type="expression" dxfId="355" priority="215">
      <formula>G111="List Price"</formula>
    </cfRule>
  </conditionalFormatting>
  <conditionalFormatting sqref="G114:G139">
    <cfRule type="expression" dxfId="354" priority="216">
      <formula>G114="Not a valid item #"</formula>
    </cfRule>
    <cfRule type="expression" dxfId="353" priority="217">
      <formula>G114="Not in NPSLS"</formula>
    </cfRule>
    <cfRule type="expression" dxfId="352" priority="218">
      <formula>G114="Obsolete"</formula>
    </cfRule>
    <cfRule type="expression" dxfId="351" priority="219">
      <formula>G114=""</formula>
    </cfRule>
    <cfRule type="expression" dxfId="350" priority="220">
      <formula>G114="List Price"</formula>
    </cfRule>
  </conditionalFormatting>
  <hyperlinks>
    <hyperlink ref="A1" location="'Table of Contents'!A1" display="Return Home" xr:uid="{4FB25BF2-B6D0-4998-B6C4-A9E8C10B44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E889-B260-4AF5-AFBF-9C8788DD24E0}">
  <sheetPr codeName="Sheet12"/>
  <dimension ref="A1:K23"/>
  <sheetViews>
    <sheetView showGridLines="0" zoomScale="90" zoomScaleNormal="90" workbookViewId="0"/>
  </sheetViews>
  <sheetFormatPr defaultRowHeight="15" x14ac:dyDescent="0.25"/>
  <cols>
    <col min="1" max="1" width="15.140625" customWidth="1"/>
    <col min="2" max="2" width="15.5703125" customWidth="1"/>
    <col min="6" max="6" width="10.5703125" customWidth="1"/>
    <col min="7" max="7" width="13.140625" customWidth="1"/>
    <col min="8" max="8" width="16.85546875" customWidth="1"/>
    <col min="9" max="10" width="10.28515625" bestFit="1" customWidth="1"/>
  </cols>
  <sheetData>
    <row r="1" spans="1:11" x14ac:dyDescent="0.25">
      <c r="A1" s="255" t="s">
        <v>5540</v>
      </c>
    </row>
    <row r="2" spans="1:11" s="1" customFormat="1" ht="15.75" x14ac:dyDescent="0.25">
      <c r="A2" s="62" t="s">
        <v>2064</v>
      </c>
      <c r="B2" s="62" t="s">
        <v>468</v>
      </c>
      <c r="C2" s="14"/>
      <c r="D2" s="3"/>
      <c r="E2" s="8"/>
      <c r="F2" s="110"/>
      <c r="G2" s="111"/>
      <c r="H2" s="19"/>
      <c r="I2"/>
      <c r="J2"/>
      <c r="K2"/>
    </row>
    <row r="3" spans="1:11" s="1" customFormat="1" ht="15.75" x14ac:dyDescent="0.25">
      <c r="A3" s="48" t="s">
        <v>2065</v>
      </c>
      <c r="B3" s="11"/>
      <c r="C3" s="4"/>
      <c r="D3" s="4"/>
      <c r="E3" s="5"/>
      <c r="F3" s="110"/>
      <c r="G3" s="4"/>
      <c r="H3" s="19"/>
      <c r="I3"/>
      <c r="J3"/>
      <c r="K3"/>
    </row>
    <row r="4" spans="1:11" s="1" customFormat="1" x14ac:dyDescent="0.25">
      <c r="A4" s="25" t="s">
        <v>35</v>
      </c>
      <c r="B4" s="28" t="s">
        <v>2066</v>
      </c>
      <c r="C4" s="335" t="s">
        <v>38</v>
      </c>
      <c r="D4" s="337"/>
      <c r="E4" s="337" t="s">
        <v>39</v>
      </c>
      <c r="F4" s="336"/>
      <c r="G4" s="42" t="s">
        <v>40</v>
      </c>
      <c r="H4" s="24" t="s">
        <v>41</v>
      </c>
      <c r="I4"/>
      <c r="J4"/>
      <c r="K4"/>
    </row>
    <row r="5" spans="1:11" s="1" customFormat="1" x14ac:dyDescent="0.2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</row>
    <row r="6" spans="1:11" s="1" customFormat="1" x14ac:dyDescent="0.25">
      <c r="A6" s="26" t="s">
        <v>2067</v>
      </c>
      <c r="B6" s="66" t="s">
        <v>2068</v>
      </c>
      <c r="C6" s="64">
        <v>2.5</v>
      </c>
      <c r="D6" s="98">
        <v>65</v>
      </c>
      <c r="E6" s="85">
        <v>60</v>
      </c>
      <c r="F6" s="40">
        <v>27</v>
      </c>
      <c r="G6" s="38" t="s">
        <v>2069</v>
      </c>
      <c r="H6" s="34">
        <f>IFERROR(_xlfn.XLOOKUP(G6,Index!$A:$A,Index!$B:$B),"")</f>
        <v>1717</v>
      </c>
      <c r="I6"/>
      <c r="J6"/>
      <c r="K6"/>
    </row>
    <row r="7" spans="1:11" x14ac:dyDescent="0.25">
      <c r="B7" s="66"/>
      <c r="C7" s="64">
        <v>3</v>
      </c>
      <c r="D7" s="98">
        <v>80</v>
      </c>
      <c r="E7" s="85">
        <v>65</v>
      </c>
      <c r="F7" s="40">
        <v>29</v>
      </c>
      <c r="G7" s="38" t="s">
        <v>2070</v>
      </c>
      <c r="H7" s="34">
        <f>IFERROR(_xlfn.XLOOKUP(G7,Index!$A:$A,Index!$B:$B),"")</f>
        <v>1831</v>
      </c>
    </row>
    <row r="8" spans="1:11" x14ac:dyDescent="0.25">
      <c r="B8" s="66"/>
      <c r="C8" s="64">
        <v>4</v>
      </c>
      <c r="D8" s="98">
        <v>100</v>
      </c>
      <c r="E8" s="85">
        <v>125</v>
      </c>
      <c r="F8" s="40">
        <v>57</v>
      </c>
      <c r="G8" s="38" t="s">
        <v>2071</v>
      </c>
      <c r="H8" s="34">
        <f>IFERROR(_xlfn.XLOOKUP(G8,Index!$A:$A,Index!$B:$B),"")</f>
        <v>3049</v>
      </c>
    </row>
    <row r="9" spans="1:11" x14ac:dyDescent="0.25">
      <c r="B9" s="66"/>
      <c r="C9" s="64">
        <v>5</v>
      </c>
      <c r="D9" s="98">
        <v>125</v>
      </c>
      <c r="E9" s="85">
        <v>172</v>
      </c>
      <c r="F9" s="40">
        <v>78</v>
      </c>
      <c r="G9" s="38" t="s">
        <v>2072</v>
      </c>
      <c r="H9" s="34">
        <f>IFERROR(_xlfn.XLOOKUP(G9,Index!$A:$A,Index!$B:$B),"")</f>
        <v>3845</v>
      </c>
    </row>
    <row r="10" spans="1:11" x14ac:dyDescent="0.25">
      <c r="B10" s="66"/>
      <c r="C10" s="64">
        <v>6</v>
      </c>
      <c r="D10" s="98">
        <v>150</v>
      </c>
      <c r="E10" s="85">
        <v>210</v>
      </c>
      <c r="F10" s="40">
        <v>95</v>
      </c>
      <c r="G10" s="38" t="s">
        <v>2073</v>
      </c>
      <c r="H10" s="34">
        <f>IFERROR(_xlfn.XLOOKUP(G10,Index!$A:$A,Index!$B:$B),"")</f>
        <v>4802</v>
      </c>
    </row>
    <row r="11" spans="1:11" x14ac:dyDescent="0.25">
      <c r="B11" s="66"/>
      <c r="C11" s="64">
        <v>8</v>
      </c>
      <c r="D11" s="98">
        <v>200</v>
      </c>
      <c r="E11" s="85">
        <v>360</v>
      </c>
      <c r="F11" s="40">
        <v>163</v>
      </c>
      <c r="G11" s="38" t="s">
        <v>2074</v>
      </c>
      <c r="H11" s="34">
        <f>IFERROR(_xlfn.XLOOKUP(G11,Index!$A:$A,Index!$B:$B),"")</f>
        <v>9316</v>
      </c>
    </row>
    <row r="12" spans="1:11" x14ac:dyDescent="0.25">
      <c r="B12" s="66"/>
      <c r="C12" s="64">
        <v>10</v>
      </c>
      <c r="D12" s="98">
        <v>250</v>
      </c>
      <c r="E12" s="85">
        <v>610</v>
      </c>
      <c r="F12" s="40">
        <v>277</v>
      </c>
      <c r="G12" s="38" t="s">
        <v>2075</v>
      </c>
      <c r="H12" s="34">
        <f>IFERROR(_xlfn.XLOOKUP(G12,Index!$A:$A,Index!$B:$B),"")</f>
        <v>14019</v>
      </c>
    </row>
    <row r="13" spans="1:11" x14ac:dyDescent="0.25">
      <c r="A13" s="100"/>
      <c r="B13" s="91"/>
      <c r="C13" s="64">
        <v>12</v>
      </c>
      <c r="D13" s="128">
        <v>300</v>
      </c>
      <c r="E13" s="85">
        <v>1045</v>
      </c>
      <c r="F13" s="40">
        <v>474</v>
      </c>
      <c r="G13" s="38" t="s">
        <v>2076</v>
      </c>
      <c r="H13" s="34">
        <f>IFERROR(_xlfn.XLOOKUP(G13,Index!$A:$A,Index!$B:$B),"")</f>
        <v>27835</v>
      </c>
    </row>
    <row r="15" spans="1:11" s="1" customFormat="1" ht="15.75" x14ac:dyDescent="0.25">
      <c r="A15" s="62" t="s">
        <v>2077</v>
      </c>
      <c r="B15" s="62" t="s">
        <v>468</v>
      </c>
      <c r="C15" s="14"/>
      <c r="D15" s="3"/>
      <c r="E15" s="8"/>
      <c r="F15" s="110"/>
      <c r="G15" s="111"/>
      <c r="H15" s="19"/>
      <c r="I15"/>
      <c r="J15"/>
      <c r="K15"/>
    </row>
    <row r="16" spans="1:11" s="1" customFormat="1" ht="15.75" x14ac:dyDescent="0.25">
      <c r="A16" s="48" t="s">
        <v>2078</v>
      </c>
      <c r="B16" s="11"/>
      <c r="C16" s="4"/>
      <c r="D16" s="4"/>
      <c r="E16" s="5"/>
      <c r="F16" s="110"/>
      <c r="G16" s="4"/>
      <c r="H16" s="19"/>
      <c r="I16"/>
      <c r="J16"/>
      <c r="K16"/>
    </row>
    <row r="17" spans="1:11" s="1" customFormat="1" x14ac:dyDescent="0.25">
      <c r="A17" s="25" t="s">
        <v>35</v>
      </c>
      <c r="B17" s="28" t="s">
        <v>2066</v>
      </c>
      <c r="C17" s="335" t="s">
        <v>38</v>
      </c>
      <c r="D17" s="337"/>
      <c r="E17" s="337" t="s">
        <v>39</v>
      </c>
      <c r="F17" s="336"/>
      <c r="G17" s="42" t="s">
        <v>40</v>
      </c>
      <c r="H17" s="24" t="s">
        <v>41</v>
      </c>
      <c r="I17"/>
      <c r="J17"/>
      <c r="K17"/>
    </row>
    <row r="18" spans="1:11" s="1" customFormat="1" x14ac:dyDescent="0.25">
      <c r="A18" s="32"/>
      <c r="B18" s="32"/>
      <c r="C18" s="33" t="s">
        <v>44</v>
      </c>
      <c r="D18" s="33" t="s">
        <v>45</v>
      </c>
      <c r="E18" s="33" t="s">
        <v>46</v>
      </c>
      <c r="F18" s="39" t="s">
        <v>47</v>
      </c>
      <c r="G18" s="33"/>
      <c r="H18" s="41"/>
      <c r="I18"/>
      <c r="J18"/>
      <c r="K18"/>
    </row>
    <row r="19" spans="1:11" s="1" customFormat="1" x14ac:dyDescent="0.25">
      <c r="A19" s="26">
        <v>595</v>
      </c>
      <c r="B19" s="66" t="s">
        <v>2068</v>
      </c>
      <c r="C19" s="64">
        <v>4</v>
      </c>
      <c r="D19" s="98">
        <v>100</v>
      </c>
      <c r="E19" s="85">
        <v>237</v>
      </c>
      <c r="F19" s="40">
        <v>108</v>
      </c>
      <c r="G19" s="38" t="s">
        <v>2079</v>
      </c>
      <c r="H19" s="34">
        <f>IFERROR(_xlfn.XLOOKUP(G19,Index!$A:$A,Index!$B:$B),"")</f>
        <v>8136</v>
      </c>
      <c r="I19"/>
      <c r="J19"/>
      <c r="K19"/>
    </row>
    <row r="20" spans="1:11" x14ac:dyDescent="0.25">
      <c r="B20" s="66"/>
      <c r="C20" s="64">
        <v>6</v>
      </c>
      <c r="D20" s="98">
        <v>150</v>
      </c>
      <c r="E20" s="85">
        <v>382</v>
      </c>
      <c r="F20" s="40">
        <v>173</v>
      </c>
      <c r="G20" s="38" t="s">
        <v>2080</v>
      </c>
      <c r="H20" s="34">
        <f>IFERROR(_xlfn.XLOOKUP(G20,Index!$A:$A,Index!$B:$B),"")</f>
        <v>8950</v>
      </c>
    </row>
    <row r="21" spans="1:11" x14ac:dyDescent="0.25">
      <c r="B21" s="66"/>
      <c r="C21" s="64">
        <v>8</v>
      </c>
      <c r="D21" s="98">
        <v>200</v>
      </c>
      <c r="E21" s="85">
        <v>654</v>
      </c>
      <c r="F21" s="40">
        <v>297</v>
      </c>
      <c r="G21" s="38" t="s">
        <v>2081</v>
      </c>
      <c r="H21" s="34">
        <f>IFERROR(_xlfn.XLOOKUP(G21,Index!$A:$A,Index!$B:$B),"")</f>
        <v>11902</v>
      </c>
    </row>
    <row r="22" spans="1:11" x14ac:dyDescent="0.25">
      <c r="B22" s="66"/>
      <c r="C22" s="64">
        <v>10</v>
      </c>
      <c r="D22" s="98">
        <v>250</v>
      </c>
      <c r="E22" s="85">
        <v>963</v>
      </c>
      <c r="F22" s="40">
        <v>437</v>
      </c>
      <c r="G22" s="38" t="s">
        <v>2082</v>
      </c>
      <c r="H22" s="34">
        <f>IFERROR(_xlfn.XLOOKUP(G22,Index!$A:$A,Index!$B:$B),"")</f>
        <v>17444</v>
      </c>
    </row>
    <row r="23" spans="1:11" x14ac:dyDescent="0.25">
      <c r="A23" s="100"/>
      <c r="B23" s="27"/>
      <c r="C23" s="64">
        <v>12</v>
      </c>
      <c r="D23" s="98">
        <v>300</v>
      </c>
      <c r="E23" s="85">
        <v>1535</v>
      </c>
      <c r="F23" s="40">
        <v>696</v>
      </c>
      <c r="G23" s="38" t="s">
        <v>2083</v>
      </c>
      <c r="H23" s="34">
        <f>IFERROR(_xlfn.XLOOKUP(G23,Index!$A:$A,Index!$B:$B),"")</f>
        <v>35623</v>
      </c>
    </row>
  </sheetData>
  <mergeCells count="4">
    <mergeCell ref="E4:F4"/>
    <mergeCell ref="C4:D4"/>
    <mergeCell ref="E17:F17"/>
    <mergeCell ref="C17:D17"/>
  </mergeCells>
  <conditionalFormatting sqref="D5:D13">
    <cfRule type="expression" dxfId="349" priority="11">
      <formula>D5="Not a valid item #"</formula>
    </cfRule>
    <cfRule type="expression" dxfId="348" priority="12">
      <formula>D5="Not in NPSLS"</formula>
    </cfRule>
    <cfRule type="expression" dxfId="347" priority="13">
      <formula>D5="Obsolete"</formula>
    </cfRule>
    <cfRule type="expression" dxfId="346" priority="14">
      <formula>D5=""</formula>
    </cfRule>
    <cfRule type="expression" dxfId="345" priority="15">
      <formula>D5="List Price"</formula>
    </cfRule>
  </conditionalFormatting>
  <conditionalFormatting sqref="F2:F3">
    <cfRule type="expression" dxfId="344" priority="16">
      <formula>F2="Not a valid item #"</formula>
    </cfRule>
    <cfRule type="expression" dxfId="343" priority="17">
      <formula>F2="Not in NPSLS"</formula>
    </cfRule>
    <cfRule type="expression" dxfId="342" priority="18">
      <formula>F2="Obsolete"</formula>
    </cfRule>
    <cfRule type="expression" dxfId="341" priority="19">
      <formula>F2=""</formula>
    </cfRule>
    <cfRule type="expression" dxfId="340" priority="20">
      <formula>F2="List Price"</formula>
    </cfRule>
  </conditionalFormatting>
  <conditionalFormatting sqref="F15:F16 D18:D23">
    <cfRule type="expression" dxfId="339" priority="6">
      <formula>D15="Not a valid item #"</formula>
    </cfRule>
    <cfRule type="expression" dxfId="338" priority="7">
      <formula>D15="Not in NPSLS"</formula>
    </cfRule>
    <cfRule type="expression" dxfId="337" priority="8">
      <formula>D15="Obsolete"</formula>
    </cfRule>
    <cfRule type="expression" dxfId="336" priority="9">
      <formula>D15=""</formula>
    </cfRule>
    <cfRule type="expression" dxfId="335" priority="10">
      <formula>D15="List Price"</formula>
    </cfRule>
  </conditionalFormatting>
  <hyperlinks>
    <hyperlink ref="A1" location="'Table of Contents'!A1" display="Return Home" xr:uid="{FAE2C5FC-9D52-4CBB-8DAC-675CC1FBF9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066-B4DF-411C-BD0D-5A7880B30EE7}">
  <sheetPr codeName="Sheet13"/>
  <dimension ref="A1:N165"/>
  <sheetViews>
    <sheetView showGridLines="0" zoomScale="90" zoomScaleNormal="90" workbookViewId="0"/>
  </sheetViews>
  <sheetFormatPr defaultRowHeight="15" x14ac:dyDescent="0.25"/>
  <cols>
    <col min="1" max="1" width="16.28515625" customWidth="1"/>
    <col min="2" max="2" width="14.5703125" customWidth="1"/>
    <col min="3" max="4" width="22.28515625" customWidth="1"/>
    <col min="5" max="5" width="14.5703125" customWidth="1"/>
    <col min="6" max="6" width="12.85546875" customWidth="1"/>
    <col min="10" max="10" width="11" bestFit="1" customWidth="1"/>
    <col min="11" max="12" width="10.28515625" bestFit="1" customWidth="1"/>
  </cols>
  <sheetData>
    <row r="1" spans="1:14" x14ac:dyDescent="0.25">
      <c r="A1" s="255" t="s">
        <v>5540</v>
      </c>
      <c r="K1" s="1"/>
      <c r="L1" s="1"/>
      <c r="M1" s="1"/>
      <c r="N1" s="1"/>
    </row>
    <row r="2" spans="1:14" s="1" customFormat="1" ht="15.75" x14ac:dyDescent="0.2">
      <c r="A2" s="62" t="s">
        <v>2084</v>
      </c>
      <c r="B2" s="63" t="s">
        <v>468</v>
      </c>
      <c r="C2" s="14"/>
      <c r="D2" s="14"/>
      <c r="E2" s="3"/>
      <c r="F2" s="8"/>
      <c r="G2" s="110"/>
      <c r="H2" s="111"/>
      <c r="I2" s="19"/>
      <c r="J2" s="19"/>
    </row>
    <row r="3" spans="1:14" s="1" customFormat="1" ht="15.75" x14ac:dyDescent="0.2">
      <c r="A3" s="48" t="s">
        <v>2085</v>
      </c>
      <c r="B3" s="11"/>
      <c r="C3" s="4"/>
      <c r="D3" s="4"/>
      <c r="E3" s="4"/>
      <c r="F3" s="5"/>
      <c r="G3" s="110"/>
      <c r="H3" s="4"/>
      <c r="I3" s="19"/>
      <c r="J3" s="19"/>
    </row>
    <row r="4" spans="1:14" s="1" customFormat="1" ht="24" x14ac:dyDescent="0.2">
      <c r="A4" s="25" t="s">
        <v>35</v>
      </c>
      <c r="B4" s="28" t="s">
        <v>36</v>
      </c>
      <c r="C4" s="29" t="s">
        <v>37</v>
      </c>
      <c r="D4" s="118" t="s">
        <v>2086</v>
      </c>
      <c r="E4" s="335" t="s">
        <v>38</v>
      </c>
      <c r="F4" s="336"/>
      <c r="G4" s="335" t="s">
        <v>39</v>
      </c>
      <c r="H4" s="336"/>
      <c r="I4" s="42" t="s">
        <v>40</v>
      </c>
      <c r="J4" s="24" t="s">
        <v>41</v>
      </c>
    </row>
    <row r="5" spans="1:14" s="1" customFormat="1" ht="12" x14ac:dyDescent="0.2">
      <c r="A5" s="32"/>
      <c r="B5" s="32"/>
      <c r="C5" s="33" t="s">
        <v>42</v>
      </c>
      <c r="D5" s="33"/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2" x14ac:dyDescent="0.2">
      <c r="A6" s="26">
        <v>1011</v>
      </c>
      <c r="B6" s="26" t="s">
        <v>216</v>
      </c>
      <c r="C6" s="30" t="s">
        <v>50</v>
      </c>
      <c r="D6" s="30" t="s">
        <v>2087</v>
      </c>
      <c r="E6" s="64" t="s">
        <v>2088</v>
      </c>
      <c r="F6" s="98" t="s">
        <v>2089</v>
      </c>
      <c r="G6" s="35">
        <v>19</v>
      </c>
      <c r="H6" s="40">
        <v>8.6</v>
      </c>
      <c r="I6" s="38" t="s">
        <v>2090</v>
      </c>
      <c r="J6" s="34">
        <f>IFERROR(_xlfn.XLOOKUP(I6,Index!$A:$A,Index!$B:$B),"")</f>
        <v>655</v>
      </c>
    </row>
    <row r="7" spans="1:14" s="1" customFormat="1" ht="12" x14ac:dyDescent="0.2">
      <c r="A7" s="26"/>
      <c r="B7" s="26"/>
      <c r="C7" s="30" t="s">
        <v>2091</v>
      </c>
      <c r="D7" s="30"/>
      <c r="E7" s="64" t="s">
        <v>2092</v>
      </c>
      <c r="F7" s="98" t="s">
        <v>2093</v>
      </c>
      <c r="G7" s="35">
        <v>21</v>
      </c>
      <c r="H7" s="40">
        <v>9.5</v>
      </c>
      <c r="I7" s="38" t="s">
        <v>2094</v>
      </c>
      <c r="J7" s="34">
        <f>IFERROR(_xlfn.XLOOKUP(I7,Index!$A:$A,Index!$B:$B),"")</f>
        <v>655</v>
      </c>
    </row>
    <row r="8" spans="1:14" s="1" customFormat="1" ht="12" x14ac:dyDescent="0.2">
      <c r="A8" s="26"/>
      <c r="B8" s="26"/>
      <c r="C8" s="30"/>
      <c r="D8" s="30"/>
      <c r="E8" s="64" t="s">
        <v>2095</v>
      </c>
      <c r="F8" s="98" t="s">
        <v>2096</v>
      </c>
      <c r="G8" s="35">
        <v>23</v>
      </c>
      <c r="H8" s="40">
        <v>10.4</v>
      </c>
      <c r="I8" s="38" t="s">
        <v>2097</v>
      </c>
      <c r="J8" s="34">
        <f>IFERROR(_xlfn.XLOOKUP(I8,Index!$A:$A,Index!$B:$B),"")</f>
        <v>683.5</v>
      </c>
    </row>
    <row r="9" spans="1:14" s="1" customFormat="1" ht="12" x14ac:dyDescent="0.2">
      <c r="A9" s="26"/>
      <c r="B9" s="26"/>
      <c r="C9" s="30"/>
      <c r="D9" s="30"/>
      <c r="E9" s="36" t="s">
        <v>2098</v>
      </c>
      <c r="F9" s="98" t="s">
        <v>2099</v>
      </c>
      <c r="G9" s="35">
        <v>32</v>
      </c>
      <c r="H9" s="40">
        <v>14.5</v>
      </c>
      <c r="I9" s="38" t="s">
        <v>2100</v>
      </c>
      <c r="J9" s="34">
        <f>IFERROR(_xlfn.XLOOKUP(I9,Index!$A:$A,Index!$B:$B),"")</f>
        <v>683.5</v>
      </c>
    </row>
    <row r="10" spans="1:14" s="1" customFormat="1" ht="12" x14ac:dyDescent="0.2">
      <c r="A10" s="26"/>
      <c r="B10" s="26"/>
      <c r="C10" s="30"/>
      <c r="D10" s="30"/>
      <c r="E10" s="36" t="s">
        <v>2101</v>
      </c>
      <c r="F10" s="98" t="s">
        <v>2102</v>
      </c>
      <c r="G10" s="35">
        <v>34</v>
      </c>
      <c r="H10" s="40">
        <v>15.4</v>
      </c>
      <c r="I10" s="38" t="s">
        <v>2103</v>
      </c>
      <c r="J10" s="34">
        <f>IFERROR(_xlfn.XLOOKUP(I10,Index!$A:$A,Index!$B:$B),"")</f>
        <v>898</v>
      </c>
    </row>
    <row r="11" spans="1:14" s="1" customFormat="1" ht="12" x14ac:dyDescent="0.2">
      <c r="A11" s="26"/>
      <c r="B11" s="26"/>
      <c r="C11" s="30"/>
      <c r="D11" s="30"/>
      <c r="E11" s="36" t="s">
        <v>2104</v>
      </c>
      <c r="F11" s="98" t="s">
        <v>2105</v>
      </c>
      <c r="G11" s="35">
        <v>45</v>
      </c>
      <c r="H11" s="40">
        <v>20</v>
      </c>
      <c r="I11" s="38" t="s">
        <v>2106</v>
      </c>
      <c r="J11" s="34">
        <f>IFERROR(_xlfn.XLOOKUP(I11,Index!$A:$A,Index!$B:$B),"")</f>
        <v>946.5</v>
      </c>
    </row>
    <row r="12" spans="1:14" s="1" customFormat="1" ht="12" x14ac:dyDescent="0.2">
      <c r="A12" s="26"/>
      <c r="B12" s="26"/>
      <c r="C12" s="30"/>
      <c r="D12" s="30"/>
      <c r="E12" s="36" t="s">
        <v>2107</v>
      </c>
      <c r="F12" s="98" t="s">
        <v>2108</v>
      </c>
      <c r="G12" s="35">
        <v>46</v>
      </c>
      <c r="H12" s="40">
        <v>21</v>
      </c>
      <c r="I12" s="38" t="s">
        <v>2109</v>
      </c>
      <c r="J12" s="34">
        <f>IFERROR(_xlfn.XLOOKUP(I12,Index!$A:$A,Index!$B:$B),"")</f>
        <v>982</v>
      </c>
    </row>
    <row r="13" spans="1:14" s="1" customFormat="1" ht="12" x14ac:dyDescent="0.2">
      <c r="A13" s="26"/>
      <c r="B13" s="26"/>
      <c r="C13" s="30"/>
      <c r="D13" s="30"/>
      <c r="E13" s="36" t="s">
        <v>2110</v>
      </c>
      <c r="F13" s="98" t="s">
        <v>2111</v>
      </c>
      <c r="G13" s="35">
        <v>47</v>
      </c>
      <c r="H13" s="40">
        <v>21</v>
      </c>
      <c r="I13" s="38" t="s">
        <v>2112</v>
      </c>
      <c r="J13" s="34">
        <f>IFERROR(_xlfn.XLOOKUP(I13,Index!$A:$A,Index!$B:$B),"")</f>
        <v>1061</v>
      </c>
    </row>
    <row r="14" spans="1:14" x14ac:dyDescent="0.25">
      <c r="A14" s="26"/>
      <c r="B14" s="26"/>
      <c r="C14" s="30"/>
      <c r="D14" s="30"/>
      <c r="E14" s="36" t="s">
        <v>2113</v>
      </c>
      <c r="F14" s="98" t="s">
        <v>2114</v>
      </c>
      <c r="G14" s="35">
        <v>61</v>
      </c>
      <c r="H14" s="40">
        <v>28</v>
      </c>
      <c r="I14" s="38" t="s">
        <v>2115</v>
      </c>
      <c r="J14" s="34">
        <f>IFERROR(_xlfn.XLOOKUP(I14,Index!$A:$A,Index!$B:$B),"")</f>
        <v>1335</v>
      </c>
      <c r="K14" s="1"/>
      <c r="L14" s="1"/>
      <c r="M14" s="1"/>
      <c r="N14" s="1"/>
    </row>
    <row r="15" spans="1:14" x14ac:dyDescent="0.25">
      <c r="A15" s="26"/>
      <c r="B15" s="26"/>
      <c r="C15" s="30"/>
      <c r="D15" s="30"/>
      <c r="E15" s="36" t="s">
        <v>2116</v>
      </c>
      <c r="F15" s="98" t="s">
        <v>2117</v>
      </c>
      <c r="G15" s="35">
        <v>73</v>
      </c>
      <c r="H15" s="40">
        <v>33</v>
      </c>
      <c r="I15" s="38" t="s">
        <v>2118</v>
      </c>
      <c r="J15" s="34">
        <f>IFERROR(_xlfn.XLOOKUP(I15,Index!$A:$A,Index!$B:$B),"")</f>
        <v>1634</v>
      </c>
      <c r="K15" s="1"/>
      <c r="L15" s="1"/>
      <c r="M15" s="1"/>
      <c r="N15" s="1"/>
    </row>
    <row r="16" spans="1:14" x14ac:dyDescent="0.25">
      <c r="A16" s="26"/>
      <c r="B16" s="26"/>
      <c r="C16" s="30"/>
      <c r="D16" s="30"/>
      <c r="E16" s="36" t="s">
        <v>2119</v>
      </c>
      <c r="F16" s="98" t="s">
        <v>2120</v>
      </c>
      <c r="G16" s="35">
        <v>96</v>
      </c>
      <c r="H16" s="40">
        <v>44</v>
      </c>
      <c r="I16" s="38" t="s">
        <v>2121</v>
      </c>
      <c r="J16" s="34">
        <f>IFERROR(_xlfn.XLOOKUP(I16,Index!$A:$A,Index!$B:$B),"")</f>
        <v>1691</v>
      </c>
      <c r="K16" s="1"/>
      <c r="L16" s="1"/>
      <c r="M16" s="1"/>
      <c r="N16" s="1"/>
    </row>
    <row r="17" spans="1:14" x14ac:dyDescent="0.25">
      <c r="A17" s="26"/>
      <c r="B17" s="26"/>
      <c r="C17" s="30"/>
      <c r="D17" s="30"/>
      <c r="E17" s="36" t="s">
        <v>2122</v>
      </c>
      <c r="F17" s="98" t="s">
        <v>2123</v>
      </c>
      <c r="G17" s="35">
        <v>101</v>
      </c>
      <c r="H17" s="40">
        <v>46</v>
      </c>
      <c r="I17" s="38" t="s">
        <v>2124</v>
      </c>
      <c r="J17" s="34">
        <f>IFERROR(_xlfn.XLOOKUP(I17,Index!$A:$A,Index!$B:$B),"")</f>
        <v>2785</v>
      </c>
      <c r="K17" s="1"/>
      <c r="L17" s="1"/>
      <c r="M17" s="1"/>
      <c r="N17" s="1"/>
    </row>
    <row r="18" spans="1:14" x14ac:dyDescent="0.25">
      <c r="A18" s="26"/>
      <c r="B18" s="26"/>
      <c r="C18" s="30"/>
      <c r="D18" s="30"/>
      <c r="E18" s="36" t="s">
        <v>2125</v>
      </c>
      <c r="F18" s="98" t="s">
        <v>2126</v>
      </c>
      <c r="G18" s="35">
        <v>132</v>
      </c>
      <c r="H18" s="40">
        <v>60</v>
      </c>
      <c r="I18" s="38" t="s">
        <v>2127</v>
      </c>
      <c r="J18" s="34">
        <f>IFERROR(_xlfn.XLOOKUP(I18,Index!$A:$A,Index!$B:$B),"")</f>
        <v>1928</v>
      </c>
      <c r="K18" s="1"/>
      <c r="L18" s="1"/>
      <c r="M18" s="1"/>
      <c r="N18" s="1"/>
    </row>
    <row r="19" spans="1:14" x14ac:dyDescent="0.25">
      <c r="A19" s="26"/>
      <c r="B19" s="26"/>
      <c r="C19" s="30"/>
      <c r="D19" s="30"/>
      <c r="E19" s="36" t="s">
        <v>2128</v>
      </c>
      <c r="F19" s="98" t="s">
        <v>2129</v>
      </c>
      <c r="G19" s="35">
        <v>136</v>
      </c>
      <c r="H19" s="40">
        <v>62</v>
      </c>
      <c r="I19" s="38" t="s">
        <v>2130</v>
      </c>
      <c r="J19" s="34">
        <f>IFERROR(_xlfn.XLOOKUP(I19,Index!$A:$A,Index!$B:$B),"")</f>
        <v>2076</v>
      </c>
      <c r="K19" s="1"/>
      <c r="L19" s="1"/>
      <c r="M19" s="1"/>
      <c r="N19" s="1"/>
    </row>
    <row r="20" spans="1:14" x14ac:dyDescent="0.25">
      <c r="A20" s="26"/>
      <c r="B20" s="26"/>
      <c r="C20" s="30"/>
      <c r="D20" s="30"/>
      <c r="E20" s="36" t="s">
        <v>2131</v>
      </c>
      <c r="F20" s="98" t="s">
        <v>2132</v>
      </c>
      <c r="G20" s="35">
        <v>139</v>
      </c>
      <c r="H20" s="40">
        <v>63</v>
      </c>
      <c r="I20" s="38" t="s">
        <v>2133</v>
      </c>
      <c r="J20" s="34">
        <f>IFERROR(_xlfn.XLOOKUP(I20,Index!$A:$A,Index!$B:$B),"")</f>
        <v>2310</v>
      </c>
      <c r="K20" s="1"/>
      <c r="L20" s="1"/>
      <c r="M20" s="1"/>
      <c r="N20" s="1"/>
    </row>
    <row r="21" spans="1:14" x14ac:dyDescent="0.25">
      <c r="A21" s="26"/>
      <c r="B21" s="26"/>
      <c r="C21" s="30"/>
      <c r="D21" s="30"/>
      <c r="E21" s="36" t="s">
        <v>2134</v>
      </c>
      <c r="F21" s="98" t="s">
        <v>2135</v>
      </c>
      <c r="G21" s="35">
        <v>166</v>
      </c>
      <c r="H21" s="40">
        <v>75</v>
      </c>
      <c r="I21" s="38" t="s">
        <v>2136</v>
      </c>
      <c r="J21" s="34">
        <f>IFERROR(_xlfn.XLOOKUP(I21,Index!$A:$A,Index!$B:$B),"")</f>
        <v>2860</v>
      </c>
      <c r="K21" s="141"/>
      <c r="L21" s="141"/>
      <c r="M21" s="141"/>
      <c r="N21" s="1"/>
    </row>
    <row r="22" spans="1:14" x14ac:dyDescent="0.25">
      <c r="A22" s="26"/>
      <c r="B22" s="26"/>
      <c r="C22" s="90"/>
      <c r="D22" s="31"/>
      <c r="E22" s="36" t="s">
        <v>2137</v>
      </c>
      <c r="F22" s="98" t="s">
        <v>2138</v>
      </c>
      <c r="G22" s="35">
        <v>249</v>
      </c>
      <c r="H22" s="40">
        <v>113</v>
      </c>
      <c r="I22" s="38" t="s">
        <v>2139</v>
      </c>
      <c r="J22" s="34">
        <f>IFERROR(_xlfn.XLOOKUP(I22,Index!$A:$A,Index!$B:$B),"")</f>
        <v>4587</v>
      </c>
      <c r="K22" s="1"/>
      <c r="L22" s="1"/>
      <c r="M22" s="1"/>
      <c r="N22" s="1"/>
    </row>
    <row r="23" spans="1:14" x14ac:dyDescent="0.25">
      <c r="A23" s="26"/>
      <c r="B23" s="26"/>
      <c r="C23" s="30"/>
      <c r="D23" s="30" t="s">
        <v>2140</v>
      </c>
      <c r="E23" s="36" t="s">
        <v>2141</v>
      </c>
      <c r="F23" s="98" t="s">
        <v>2142</v>
      </c>
      <c r="G23" s="35">
        <v>276</v>
      </c>
      <c r="H23" s="40">
        <v>125</v>
      </c>
      <c r="I23" s="38" t="s">
        <v>2143</v>
      </c>
      <c r="J23" s="34">
        <f>IFERROR(_xlfn.XLOOKUP(I23,Index!$A:$A,Index!$B:$B),"")</f>
        <v>5474</v>
      </c>
      <c r="K23" s="141"/>
      <c r="L23" s="1"/>
      <c r="M23" s="1"/>
      <c r="N23" s="1"/>
    </row>
    <row r="24" spans="1:14" x14ac:dyDescent="0.25">
      <c r="A24" s="26"/>
      <c r="B24" s="26"/>
      <c r="C24" s="30"/>
      <c r="D24" s="30"/>
      <c r="E24" s="36" t="s">
        <v>2144</v>
      </c>
      <c r="F24" s="98" t="s">
        <v>2145</v>
      </c>
      <c r="G24" s="35">
        <v>422</v>
      </c>
      <c r="H24" s="40">
        <v>191</v>
      </c>
      <c r="I24" s="38" t="s">
        <v>2146</v>
      </c>
      <c r="J24" s="34">
        <f>IFERROR(_xlfn.XLOOKUP(I24,Index!$A:$A,Index!$B:$B),"")</f>
        <v>6450</v>
      </c>
      <c r="K24" s="1"/>
      <c r="L24" s="1"/>
      <c r="M24" s="1"/>
      <c r="N24" s="1"/>
    </row>
    <row r="25" spans="1:14" x14ac:dyDescent="0.25">
      <c r="A25" s="26"/>
      <c r="B25" s="26"/>
      <c r="C25" s="30"/>
      <c r="D25" s="30"/>
      <c r="E25" s="36" t="s">
        <v>2147</v>
      </c>
      <c r="F25" s="98" t="s">
        <v>2148</v>
      </c>
      <c r="G25" s="35">
        <v>412</v>
      </c>
      <c r="H25" s="40">
        <v>187</v>
      </c>
      <c r="I25" s="38" t="s">
        <v>2149</v>
      </c>
      <c r="J25" s="34">
        <f>IFERROR(_xlfn.XLOOKUP(I25,Index!$A:$A,Index!$B:$B),"")</f>
        <v>7589</v>
      </c>
      <c r="K25" s="1"/>
      <c r="L25" s="1"/>
      <c r="M25" s="1"/>
      <c r="N25" s="1"/>
    </row>
    <row r="26" spans="1:14" x14ac:dyDescent="0.25">
      <c r="A26" s="26"/>
      <c r="B26" s="26"/>
      <c r="C26" s="30"/>
      <c r="D26" s="30"/>
      <c r="E26" s="36" t="s">
        <v>2150</v>
      </c>
      <c r="F26" s="98" t="s">
        <v>2151</v>
      </c>
      <c r="G26" s="35">
        <v>491</v>
      </c>
      <c r="H26" s="40">
        <v>223</v>
      </c>
      <c r="I26" s="38" t="s">
        <v>2152</v>
      </c>
      <c r="J26" s="34">
        <f>IFERROR(_xlfn.XLOOKUP(I26,Index!$A:$A,Index!$B:$B),"")</f>
        <v>7838</v>
      </c>
      <c r="K26" s="1"/>
      <c r="L26" s="1"/>
      <c r="M26" s="1"/>
      <c r="N26" s="1"/>
    </row>
    <row r="27" spans="1:14" x14ac:dyDescent="0.25">
      <c r="A27" s="26"/>
      <c r="B27" s="26"/>
      <c r="C27" s="30"/>
      <c r="D27" s="30"/>
      <c r="E27" s="36" t="s">
        <v>2153</v>
      </c>
      <c r="F27" s="98" t="s">
        <v>2154</v>
      </c>
      <c r="G27" s="35">
        <v>601</v>
      </c>
      <c r="H27" s="40">
        <v>273</v>
      </c>
      <c r="I27" s="38" t="s">
        <v>2155</v>
      </c>
      <c r="J27" s="34">
        <f>IFERROR(_xlfn.XLOOKUP(I27,Index!$A:$A,Index!$B:$B),"")</f>
        <v>7838</v>
      </c>
      <c r="K27" s="1"/>
      <c r="L27" s="1"/>
      <c r="M27" s="1"/>
      <c r="N27" s="1"/>
    </row>
    <row r="28" spans="1:14" x14ac:dyDescent="0.25">
      <c r="A28" s="26"/>
      <c r="B28" s="26"/>
      <c r="C28" s="30"/>
      <c r="D28" s="30"/>
      <c r="E28" s="36" t="s">
        <v>2156</v>
      </c>
      <c r="F28" s="98" t="s">
        <v>2157</v>
      </c>
      <c r="G28" s="35">
        <v>507</v>
      </c>
      <c r="H28" s="40">
        <v>230</v>
      </c>
      <c r="I28" s="38" t="s">
        <v>2158</v>
      </c>
      <c r="J28" s="34">
        <f>IFERROR(_xlfn.XLOOKUP(I28,Index!$A:$A,Index!$B:$B),"")</f>
        <v>10647</v>
      </c>
      <c r="K28" s="1"/>
      <c r="L28" s="1"/>
      <c r="M28" s="1"/>
      <c r="N28" s="1"/>
    </row>
    <row r="29" spans="1:14" x14ac:dyDescent="0.25">
      <c r="A29" s="26"/>
      <c r="B29" s="26"/>
      <c r="C29" s="30"/>
      <c r="D29" s="30"/>
      <c r="E29" s="36" t="s">
        <v>2159</v>
      </c>
      <c r="F29" s="98" t="s">
        <v>2160</v>
      </c>
      <c r="G29" s="35">
        <v>601</v>
      </c>
      <c r="H29" s="40">
        <v>273</v>
      </c>
      <c r="I29" s="38" t="s">
        <v>2161</v>
      </c>
      <c r="J29" s="34">
        <f>IFERROR(_xlfn.XLOOKUP(I29,Index!$A:$A,Index!$B:$B),"")</f>
        <v>13012</v>
      </c>
      <c r="K29" s="1"/>
      <c r="L29" s="1"/>
      <c r="M29" s="1"/>
      <c r="N29" s="1"/>
    </row>
    <row r="30" spans="1:14" x14ac:dyDescent="0.25">
      <c r="A30" s="26"/>
      <c r="B30" s="26"/>
      <c r="C30" s="30"/>
      <c r="D30" s="30"/>
      <c r="E30" s="36" t="s">
        <v>2162</v>
      </c>
      <c r="F30" s="98" t="s">
        <v>2163</v>
      </c>
      <c r="G30" s="35">
        <v>706</v>
      </c>
      <c r="H30" s="40">
        <v>320</v>
      </c>
      <c r="I30" s="38" t="s">
        <v>2164</v>
      </c>
      <c r="J30" s="34">
        <f>IFERROR(_xlfn.XLOOKUP(I30,Index!$A:$A,Index!$B:$B),"")</f>
        <v>13602</v>
      </c>
      <c r="K30" s="1"/>
      <c r="L30" s="1"/>
      <c r="M30" s="1"/>
      <c r="N30" s="1"/>
    </row>
    <row r="31" spans="1:14" x14ac:dyDescent="0.25">
      <c r="A31" s="26"/>
      <c r="B31" s="26"/>
      <c r="C31" s="30"/>
      <c r="D31" s="30"/>
      <c r="E31" s="36" t="s">
        <v>2165</v>
      </c>
      <c r="F31" s="98" t="s">
        <v>2166</v>
      </c>
      <c r="G31" s="35">
        <v>550</v>
      </c>
      <c r="H31" s="40">
        <v>249</v>
      </c>
      <c r="I31" s="38" t="s">
        <v>2167</v>
      </c>
      <c r="J31" s="34">
        <f>IFERROR(_xlfn.XLOOKUP(I31,Index!$A:$A,Index!$B:$B),"")</f>
        <v>16635</v>
      </c>
      <c r="K31" s="1"/>
      <c r="L31" s="1"/>
      <c r="M31" s="1"/>
      <c r="N31" s="1"/>
    </row>
    <row r="32" spans="1:14" x14ac:dyDescent="0.25">
      <c r="A32" s="26"/>
      <c r="B32" s="26"/>
      <c r="C32" s="30"/>
      <c r="D32" s="30"/>
      <c r="E32" s="36" t="s">
        <v>2168</v>
      </c>
      <c r="F32" s="98" t="s">
        <v>2169</v>
      </c>
      <c r="G32" s="35">
        <v>660</v>
      </c>
      <c r="H32" s="40">
        <v>299</v>
      </c>
      <c r="I32" s="38" t="s">
        <v>2170</v>
      </c>
      <c r="J32" s="34">
        <f>IFERROR(_xlfn.XLOOKUP(I32,Index!$A:$A,Index!$B:$B),"")</f>
        <v>13749</v>
      </c>
      <c r="K32" s="1"/>
      <c r="L32" s="1"/>
      <c r="M32" s="1"/>
      <c r="N32" s="1"/>
    </row>
    <row r="33" spans="1:14" x14ac:dyDescent="0.25">
      <c r="A33" s="26"/>
      <c r="B33" s="26"/>
      <c r="C33" s="30"/>
      <c r="D33" s="30"/>
      <c r="E33" s="36" t="s">
        <v>2171</v>
      </c>
      <c r="F33" s="98" t="s">
        <v>2172</v>
      </c>
      <c r="G33" s="35">
        <v>750</v>
      </c>
      <c r="H33" s="40">
        <v>340</v>
      </c>
      <c r="I33" s="38" t="s">
        <v>2173</v>
      </c>
      <c r="J33" s="34">
        <f>IFERROR(_xlfn.XLOOKUP(I33,Index!$A:$A,Index!$B:$B),"")</f>
        <v>14194</v>
      </c>
      <c r="K33" s="1"/>
      <c r="L33" s="1"/>
      <c r="M33" s="1"/>
      <c r="N33" s="1"/>
    </row>
    <row r="34" spans="1:14" x14ac:dyDescent="0.25">
      <c r="A34" s="27"/>
      <c r="B34" s="27"/>
      <c r="C34" s="31"/>
      <c r="D34" s="31"/>
      <c r="E34" s="119" t="s">
        <v>2174</v>
      </c>
      <c r="F34" s="98" t="s">
        <v>2175</v>
      </c>
      <c r="G34" s="35">
        <v>820</v>
      </c>
      <c r="H34" s="40">
        <v>372</v>
      </c>
      <c r="I34" s="38" t="s">
        <v>2176</v>
      </c>
      <c r="J34" s="34">
        <f>IFERROR(_xlfn.XLOOKUP(I34,Index!$A:$A,Index!$B:$B),"")</f>
        <v>20696</v>
      </c>
      <c r="K34" s="1"/>
      <c r="L34" s="1"/>
      <c r="M34" s="1"/>
      <c r="N34" s="1"/>
    </row>
    <row r="35" spans="1:14" x14ac:dyDescent="0.25">
      <c r="K35" s="1"/>
      <c r="L35" s="1"/>
      <c r="M35" s="1"/>
      <c r="N35" s="1"/>
    </row>
    <row r="36" spans="1:14" x14ac:dyDescent="0.25">
      <c r="K36" s="1"/>
      <c r="L36" s="1"/>
      <c r="M36" s="1"/>
      <c r="N36" s="1"/>
    </row>
    <row r="37" spans="1:14" s="1" customFormat="1" ht="15.75" x14ac:dyDescent="0.2">
      <c r="A37" s="62" t="s">
        <v>2177</v>
      </c>
      <c r="B37" s="62" t="s">
        <v>174</v>
      </c>
      <c r="C37" s="14"/>
      <c r="D37" s="14"/>
      <c r="E37" s="3"/>
      <c r="F37" s="8"/>
      <c r="G37" s="110"/>
      <c r="H37" s="111"/>
      <c r="I37" s="19"/>
      <c r="J37" s="19"/>
    </row>
    <row r="38" spans="1:14" s="1" customFormat="1" ht="15.75" x14ac:dyDescent="0.2">
      <c r="A38" s="48" t="s">
        <v>2178</v>
      </c>
      <c r="B38" s="11"/>
      <c r="C38" s="4"/>
      <c r="D38" s="4"/>
      <c r="E38" s="4"/>
      <c r="F38" s="5"/>
      <c r="G38" s="110"/>
      <c r="H38" s="4"/>
      <c r="I38" s="19"/>
      <c r="J38" s="19"/>
    </row>
    <row r="39" spans="1:14" s="1" customFormat="1" ht="24" x14ac:dyDescent="0.2">
      <c r="A39" s="25" t="s">
        <v>35</v>
      </c>
      <c r="B39" s="28" t="s">
        <v>36</v>
      </c>
      <c r="C39" s="29" t="s">
        <v>37</v>
      </c>
      <c r="D39" s="118" t="s">
        <v>2086</v>
      </c>
      <c r="E39" s="335" t="s">
        <v>38</v>
      </c>
      <c r="F39" s="337"/>
      <c r="G39" s="337" t="s">
        <v>39</v>
      </c>
      <c r="H39" s="336"/>
      <c r="I39" s="42" t="s">
        <v>40</v>
      </c>
      <c r="J39" s="24" t="s">
        <v>41</v>
      </c>
    </row>
    <row r="40" spans="1:14" s="1" customFormat="1" ht="12" x14ac:dyDescent="0.2">
      <c r="A40" s="32"/>
      <c r="B40" s="32"/>
      <c r="C40" s="33" t="s">
        <v>42</v>
      </c>
      <c r="D40" s="33"/>
      <c r="E40" s="33" t="s">
        <v>44</v>
      </c>
      <c r="F40" s="33" t="s">
        <v>45</v>
      </c>
      <c r="G40" s="33" t="s">
        <v>46</v>
      </c>
      <c r="H40" s="39" t="s">
        <v>47</v>
      </c>
      <c r="I40" s="33"/>
      <c r="J40" s="41"/>
    </row>
    <row r="41" spans="1:14" s="1" customFormat="1" ht="12" x14ac:dyDescent="0.2">
      <c r="A41" s="26">
        <v>1011</v>
      </c>
      <c r="B41" s="26" t="s">
        <v>937</v>
      </c>
      <c r="C41" s="30" t="s">
        <v>50</v>
      </c>
      <c r="D41" s="30" t="s">
        <v>2087</v>
      </c>
      <c r="E41" s="64" t="s">
        <v>2088</v>
      </c>
      <c r="F41" s="98" t="s">
        <v>2089</v>
      </c>
      <c r="G41" s="35">
        <v>25</v>
      </c>
      <c r="H41" s="40">
        <v>11.3</v>
      </c>
      <c r="I41" s="38" t="s">
        <v>2090</v>
      </c>
      <c r="J41" s="34">
        <f>IFERROR(_xlfn.XLOOKUP(I41,Index!$A:$A,Index!$B:$B),"")</f>
        <v>655</v>
      </c>
    </row>
    <row r="42" spans="1:14" s="1" customFormat="1" ht="12" x14ac:dyDescent="0.2">
      <c r="A42" s="26"/>
      <c r="B42" s="26"/>
      <c r="C42" s="30" t="s">
        <v>2091</v>
      </c>
      <c r="D42" s="30"/>
      <c r="E42" s="64" t="s">
        <v>2092</v>
      </c>
      <c r="F42" s="98" t="s">
        <v>2093</v>
      </c>
      <c r="G42" s="35">
        <v>25</v>
      </c>
      <c r="H42" s="40">
        <v>11.3</v>
      </c>
      <c r="I42" s="38" t="s">
        <v>2094</v>
      </c>
      <c r="J42" s="34">
        <f>IFERROR(_xlfn.XLOOKUP(I42,Index!$A:$A,Index!$B:$B),"")</f>
        <v>655</v>
      </c>
    </row>
    <row r="43" spans="1:14" s="1" customFormat="1" ht="12" x14ac:dyDescent="0.2">
      <c r="A43" s="26"/>
      <c r="B43" s="26"/>
      <c r="C43" s="30"/>
      <c r="D43" s="30"/>
      <c r="E43" s="64" t="s">
        <v>2095</v>
      </c>
      <c r="F43" s="98" t="s">
        <v>2096</v>
      </c>
      <c r="G43" s="35">
        <v>30</v>
      </c>
      <c r="H43" s="40">
        <v>13.6</v>
      </c>
      <c r="I43" s="38" t="s">
        <v>2179</v>
      </c>
      <c r="J43" s="34">
        <f>IFERROR(_xlfn.XLOOKUP(I43,Index!$A:$A,Index!$B:$B),"")</f>
        <v>1078</v>
      </c>
    </row>
    <row r="44" spans="1:14" s="1" customFormat="1" ht="12" x14ac:dyDescent="0.2">
      <c r="A44" s="26"/>
      <c r="B44" s="26"/>
      <c r="C44" s="30"/>
      <c r="D44" s="30"/>
      <c r="E44" s="36" t="s">
        <v>2098</v>
      </c>
      <c r="F44" s="98" t="s">
        <v>2099</v>
      </c>
      <c r="G44" s="35">
        <v>35</v>
      </c>
      <c r="H44" s="40">
        <v>15.9</v>
      </c>
      <c r="I44" s="38" t="s">
        <v>2100</v>
      </c>
      <c r="J44" s="34">
        <f>IFERROR(_xlfn.XLOOKUP(I44,Index!$A:$A,Index!$B:$B),"")</f>
        <v>683.5</v>
      </c>
    </row>
    <row r="45" spans="1:14" s="1" customFormat="1" ht="12" x14ac:dyDescent="0.2">
      <c r="A45" s="26"/>
      <c r="B45" s="26"/>
      <c r="C45" s="30"/>
      <c r="D45" s="30"/>
      <c r="E45" s="36" t="s">
        <v>2101</v>
      </c>
      <c r="F45" s="98" t="s">
        <v>2102</v>
      </c>
      <c r="G45" s="35">
        <v>39</v>
      </c>
      <c r="H45" s="40">
        <v>17.7</v>
      </c>
      <c r="I45" s="38" t="s">
        <v>2103</v>
      </c>
      <c r="J45" s="34">
        <f>IFERROR(_xlfn.XLOOKUP(I45,Index!$A:$A,Index!$B:$B),"")</f>
        <v>898</v>
      </c>
    </row>
    <row r="46" spans="1:14" s="1" customFormat="1" ht="12" x14ac:dyDescent="0.2">
      <c r="A46" s="26"/>
      <c r="B46" s="26"/>
      <c r="C46" s="30"/>
      <c r="D46" s="30"/>
      <c r="E46" s="36" t="s">
        <v>2104</v>
      </c>
      <c r="F46" s="98" t="s">
        <v>2105</v>
      </c>
      <c r="G46" s="35">
        <v>57</v>
      </c>
      <c r="H46" s="40">
        <v>26</v>
      </c>
      <c r="I46" s="38" t="s">
        <v>2180</v>
      </c>
      <c r="J46" s="34">
        <f>IFERROR(_xlfn.XLOOKUP(I46,Index!$A:$A,Index!$B:$B),"")</f>
        <v>1571</v>
      </c>
    </row>
    <row r="47" spans="1:14" s="1" customFormat="1" ht="12" x14ac:dyDescent="0.2">
      <c r="A47" s="26"/>
      <c r="B47" s="26"/>
      <c r="C47" s="30"/>
      <c r="D47" s="30"/>
      <c r="E47" s="36" t="s">
        <v>2107</v>
      </c>
      <c r="F47" s="98" t="s">
        <v>2108</v>
      </c>
      <c r="G47" s="35">
        <v>57</v>
      </c>
      <c r="H47" s="40">
        <v>26</v>
      </c>
      <c r="I47" s="38" t="s">
        <v>2181</v>
      </c>
      <c r="J47" s="34">
        <f>IFERROR(_xlfn.XLOOKUP(I47,Index!$A:$A,Index!$B:$B),"")</f>
        <v>1656</v>
      </c>
    </row>
    <row r="48" spans="1:14" s="1" customFormat="1" ht="12" x14ac:dyDescent="0.2">
      <c r="A48" s="26"/>
      <c r="B48" s="26"/>
      <c r="C48" s="30"/>
      <c r="D48" s="30"/>
      <c r="E48" s="36" t="s">
        <v>2110</v>
      </c>
      <c r="F48" s="98" t="s">
        <v>2111</v>
      </c>
      <c r="G48" s="35">
        <v>63</v>
      </c>
      <c r="H48" s="40">
        <v>29</v>
      </c>
      <c r="I48" s="38" t="s">
        <v>2182</v>
      </c>
      <c r="J48" s="34">
        <f>IFERROR(_xlfn.XLOOKUP(I48,Index!$A:$A,Index!$B:$B),"")</f>
        <v>1722</v>
      </c>
    </row>
    <row r="49" spans="1:14" x14ac:dyDescent="0.25">
      <c r="A49" s="26"/>
      <c r="B49" s="26"/>
      <c r="C49" s="30"/>
      <c r="D49" s="30"/>
      <c r="E49" s="36" t="s">
        <v>2113</v>
      </c>
      <c r="F49" s="98" t="s">
        <v>2114</v>
      </c>
      <c r="G49" s="35">
        <v>69</v>
      </c>
      <c r="H49" s="40">
        <v>31</v>
      </c>
      <c r="I49" s="38" t="s">
        <v>2183</v>
      </c>
      <c r="J49" s="34">
        <f>IFERROR(_xlfn.XLOOKUP(I49,Index!$A:$A,Index!$B:$B),"")</f>
        <v>2157</v>
      </c>
      <c r="K49" s="1"/>
      <c r="L49" s="1"/>
      <c r="M49" s="1"/>
      <c r="N49" s="1"/>
    </row>
    <row r="50" spans="1:14" x14ac:dyDescent="0.25">
      <c r="A50" s="26"/>
      <c r="B50" s="26"/>
      <c r="C50" s="30"/>
      <c r="D50" s="30"/>
      <c r="E50" s="36" t="s">
        <v>2116</v>
      </c>
      <c r="F50" s="98" t="s">
        <v>2117</v>
      </c>
      <c r="G50" s="35">
        <v>86</v>
      </c>
      <c r="H50" s="40">
        <v>39</v>
      </c>
      <c r="I50" s="38" t="s">
        <v>2184</v>
      </c>
      <c r="J50" s="34">
        <f>IFERROR(_xlfn.XLOOKUP(I50,Index!$A:$A,Index!$B:$B),"")</f>
        <v>2281</v>
      </c>
      <c r="K50" s="1"/>
      <c r="L50" s="1"/>
      <c r="M50" s="1"/>
      <c r="N50" s="1"/>
    </row>
    <row r="51" spans="1:14" x14ac:dyDescent="0.25">
      <c r="A51" s="26"/>
      <c r="B51" s="26"/>
      <c r="C51" s="30"/>
      <c r="D51" s="30"/>
      <c r="E51" s="36" t="s">
        <v>2119</v>
      </c>
      <c r="F51" s="98" t="s">
        <v>2120</v>
      </c>
      <c r="G51" s="35">
        <v>125</v>
      </c>
      <c r="H51" s="40">
        <v>57</v>
      </c>
      <c r="I51" s="38" t="s">
        <v>2185</v>
      </c>
      <c r="J51" s="34">
        <f>IFERROR(_xlfn.XLOOKUP(I51,Index!$A:$A,Index!$B:$B),"")</f>
        <v>2845</v>
      </c>
      <c r="K51" s="1"/>
      <c r="L51" s="1"/>
      <c r="M51" s="1"/>
      <c r="N51" s="1"/>
    </row>
    <row r="52" spans="1:14" x14ac:dyDescent="0.25">
      <c r="A52" s="26"/>
      <c r="B52" s="26"/>
      <c r="C52" s="30"/>
      <c r="D52" s="30"/>
      <c r="E52" s="36" t="s">
        <v>2122</v>
      </c>
      <c r="F52" s="98" t="s">
        <v>2123</v>
      </c>
      <c r="G52" s="35">
        <v>130</v>
      </c>
      <c r="H52" s="40">
        <v>59</v>
      </c>
      <c r="I52" s="38" t="s">
        <v>2124</v>
      </c>
      <c r="J52" s="34">
        <f>IFERROR(_xlfn.XLOOKUP(I52,Index!$A:$A,Index!$B:$B),"")</f>
        <v>2785</v>
      </c>
      <c r="K52" s="1"/>
      <c r="L52" s="1"/>
      <c r="M52" s="1"/>
      <c r="N52" s="1"/>
    </row>
    <row r="53" spans="1:14" x14ac:dyDescent="0.25">
      <c r="A53" s="26"/>
      <c r="B53" s="26"/>
      <c r="C53" s="30"/>
      <c r="D53" s="30"/>
      <c r="E53" s="36" t="s">
        <v>2125</v>
      </c>
      <c r="F53" s="98" t="s">
        <v>2126</v>
      </c>
      <c r="G53" s="35">
        <v>161</v>
      </c>
      <c r="H53" s="40">
        <v>73</v>
      </c>
      <c r="I53" s="38" t="s">
        <v>2186</v>
      </c>
      <c r="J53" s="34">
        <f>IFERROR(_xlfn.XLOOKUP(I53,Index!$A:$A,Index!$B:$B),"")</f>
        <v>3694</v>
      </c>
      <c r="K53" s="1"/>
      <c r="L53" s="1"/>
      <c r="M53" s="1"/>
      <c r="N53" s="1"/>
    </row>
    <row r="54" spans="1:14" x14ac:dyDescent="0.25">
      <c r="A54" s="26"/>
      <c r="B54" s="26"/>
      <c r="C54" s="30"/>
      <c r="D54" s="30"/>
      <c r="E54" s="36" t="s">
        <v>2128</v>
      </c>
      <c r="F54" s="98" t="s">
        <v>2129</v>
      </c>
      <c r="G54" s="35">
        <v>155</v>
      </c>
      <c r="H54" s="40">
        <v>70</v>
      </c>
      <c r="I54" s="38" t="s">
        <v>2187</v>
      </c>
      <c r="J54" s="34">
        <f>IFERROR(_xlfn.XLOOKUP(I54,Index!$A:$A,Index!$B:$B),"")</f>
        <v>3980</v>
      </c>
      <c r="K54" s="1"/>
      <c r="L54" s="1"/>
      <c r="M54" s="1"/>
      <c r="N54" s="1"/>
    </row>
    <row r="55" spans="1:14" x14ac:dyDescent="0.25">
      <c r="A55" s="26"/>
      <c r="B55" s="26"/>
      <c r="C55" s="30"/>
      <c r="D55" s="30"/>
      <c r="E55" s="36" t="s">
        <v>2131</v>
      </c>
      <c r="F55" s="98" t="s">
        <v>2132</v>
      </c>
      <c r="G55" s="35">
        <v>168</v>
      </c>
      <c r="H55" s="40">
        <v>76</v>
      </c>
      <c r="I55" s="38" t="s">
        <v>2188</v>
      </c>
      <c r="J55" s="34">
        <f>IFERROR(_xlfn.XLOOKUP(I55,Index!$A:$A,Index!$B:$B),"")</f>
        <v>4019</v>
      </c>
      <c r="K55" s="1"/>
      <c r="L55" s="1"/>
      <c r="M55" s="1"/>
      <c r="N55" s="1"/>
    </row>
    <row r="56" spans="1:14" x14ac:dyDescent="0.25">
      <c r="A56" s="26"/>
      <c r="B56" s="26"/>
      <c r="C56" s="30"/>
      <c r="D56" s="30"/>
      <c r="E56" s="36" t="s">
        <v>2134</v>
      </c>
      <c r="F56" s="98" t="s">
        <v>2135</v>
      </c>
      <c r="G56" s="35">
        <v>216</v>
      </c>
      <c r="H56" s="40">
        <v>98</v>
      </c>
      <c r="I56" s="38" t="s">
        <v>2189</v>
      </c>
      <c r="J56" s="34">
        <f>IFERROR(_xlfn.XLOOKUP(I56,Index!$A:$A,Index!$B:$B),"")</f>
        <v>5189</v>
      </c>
      <c r="K56" s="1"/>
      <c r="L56" s="1"/>
      <c r="M56" s="1"/>
      <c r="N56" s="1"/>
    </row>
    <row r="57" spans="1:14" x14ac:dyDescent="0.25">
      <c r="A57" s="26"/>
      <c r="B57" s="26"/>
      <c r="C57" s="30"/>
      <c r="D57" s="31"/>
      <c r="E57" s="36" t="s">
        <v>2137</v>
      </c>
      <c r="F57" s="98" t="s">
        <v>2138</v>
      </c>
      <c r="G57" s="35">
        <v>317</v>
      </c>
      <c r="H57" s="40">
        <v>144</v>
      </c>
      <c r="I57" s="38" t="s">
        <v>2190</v>
      </c>
      <c r="J57" s="34">
        <f>IFERROR(_xlfn.XLOOKUP(I57,Index!$A:$A,Index!$B:$B),"")</f>
        <v>5285</v>
      </c>
      <c r="K57" s="1"/>
      <c r="L57" s="1"/>
      <c r="M57" s="1"/>
      <c r="N57" s="1"/>
    </row>
    <row r="58" spans="1:14" x14ac:dyDescent="0.25">
      <c r="A58" s="26"/>
      <c r="B58" s="26"/>
      <c r="C58" s="30"/>
      <c r="D58" s="30" t="s">
        <v>2140</v>
      </c>
      <c r="E58" s="36" t="s">
        <v>2141</v>
      </c>
      <c r="F58" s="98" t="s">
        <v>2142</v>
      </c>
      <c r="G58" s="35">
        <v>358</v>
      </c>
      <c r="H58" s="40">
        <v>162</v>
      </c>
      <c r="I58" s="38" t="s">
        <v>2191</v>
      </c>
      <c r="J58" s="34">
        <f>IFERROR(_xlfn.XLOOKUP(I58,Index!$A:$A,Index!$B:$B),"")</f>
        <v>7189</v>
      </c>
      <c r="K58" s="1"/>
      <c r="L58" s="1"/>
      <c r="M58" s="1"/>
      <c r="N58" s="1"/>
    </row>
    <row r="59" spans="1:14" x14ac:dyDescent="0.25">
      <c r="A59" s="27"/>
      <c r="B59" s="27"/>
      <c r="C59" s="31"/>
      <c r="D59" s="31"/>
      <c r="E59" s="36" t="s">
        <v>2144</v>
      </c>
      <c r="F59" s="98" t="s">
        <v>2145</v>
      </c>
      <c r="G59" s="35">
        <v>472</v>
      </c>
      <c r="H59" s="40">
        <v>215</v>
      </c>
      <c r="I59" s="38" t="s">
        <v>2192</v>
      </c>
      <c r="J59" s="34">
        <f>IFERROR(_xlfn.XLOOKUP(I59,Index!$A:$A,Index!$B:$B),"")</f>
        <v>9951</v>
      </c>
      <c r="K59" s="1"/>
      <c r="L59" s="1"/>
      <c r="M59" s="1"/>
      <c r="N59" s="1"/>
    </row>
    <row r="60" spans="1:14" x14ac:dyDescent="0.25">
      <c r="A60" s="12" t="s">
        <v>2193</v>
      </c>
      <c r="B60" s="12"/>
      <c r="C60" s="4"/>
      <c r="D60" s="4"/>
      <c r="E60" s="220"/>
      <c r="F60" s="142"/>
      <c r="G60" s="4"/>
      <c r="H60" s="19"/>
      <c r="I60" s="19"/>
      <c r="J60" s="84"/>
      <c r="K60" s="1"/>
      <c r="L60" s="1"/>
      <c r="M60" s="1"/>
      <c r="N60" s="1"/>
    </row>
    <row r="61" spans="1:14" x14ac:dyDescent="0.25">
      <c r="K61" s="1"/>
      <c r="L61" s="1"/>
      <c r="M61" s="1"/>
      <c r="N61" s="1"/>
    </row>
    <row r="62" spans="1:14" x14ac:dyDescent="0.25">
      <c r="K62" s="1"/>
      <c r="L62" s="1"/>
      <c r="M62" s="1"/>
      <c r="N62" s="1"/>
    </row>
    <row r="63" spans="1:14" ht="15.75" x14ac:dyDescent="0.25">
      <c r="A63" s="62" t="s">
        <v>2216</v>
      </c>
      <c r="B63" s="63" t="s">
        <v>468</v>
      </c>
      <c r="C63" s="14"/>
      <c r="D63" s="14"/>
      <c r="E63" s="3"/>
      <c r="F63" s="8"/>
      <c r="G63" s="110"/>
      <c r="H63" s="111"/>
      <c r="I63" s="19"/>
      <c r="J63" s="19"/>
      <c r="K63" s="1"/>
      <c r="L63" s="1"/>
      <c r="M63" s="1"/>
      <c r="N63" s="1"/>
    </row>
    <row r="64" spans="1:14" ht="15.75" x14ac:dyDescent="0.25">
      <c r="A64" s="48" t="s">
        <v>2217</v>
      </c>
      <c r="B64" s="11"/>
      <c r="C64" s="4"/>
      <c r="D64" s="4"/>
      <c r="E64" s="4"/>
      <c r="F64" s="5"/>
      <c r="G64" s="110"/>
      <c r="H64" s="4"/>
      <c r="I64" s="19"/>
      <c r="J64" s="19"/>
      <c r="K64" s="1"/>
      <c r="L64" s="1"/>
      <c r="M64" s="1"/>
      <c r="N64" s="1"/>
    </row>
    <row r="65" spans="1:14" ht="24" x14ac:dyDescent="0.25">
      <c r="A65" s="25" t="s">
        <v>35</v>
      </c>
      <c r="B65" s="28" t="s">
        <v>36</v>
      </c>
      <c r="C65" s="29" t="s">
        <v>37</v>
      </c>
      <c r="D65" s="118" t="s">
        <v>2086</v>
      </c>
      <c r="E65" s="335" t="s">
        <v>38</v>
      </c>
      <c r="F65" s="337"/>
      <c r="G65" s="337" t="s">
        <v>39</v>
      </c>
      <c r="H65" s="336"/>
      <c r="I65" s="42" t="s">
        <v>40</v>
      </c>
      <c r="J65" s="24" t="s">
        <v>41</v>
      </c>
      <c r="K65" s="1"/>
      <c r="L65" s="1"/>
      <c r="M65" s="1"/>
      <c r="N65" s="1"/>
    </row>
    <row r="66" spans="1:14" x14ac:dyDescent="0.25">
      <c r="A66" s="32"/>
      <c r="B66" s="32"/>
      <c r="C66" s="33" t="s">
        <v>42</v>
      </c>
      <c r="D66" s="33"/>
      <c r="E66" s="33" t="s">
        <v>44</v>
      </c>
      <c r="F66" s="33" t="s">
        <v>45</v>
      </c>
      <c r="G66" s="33" t="s">
        <v>46</v>
      </c>
      <c r="H66" s="39" t="s">
        <v>47</v>
      </c>
      <c r="I66" s="33"/>
      <c r="J66" s="41"/>
      <c r="K66" s="1"/>
      <c r="L66" s="1"/>
      <c r="M66" s="1"/>
      <c r="N66" s="1"/>
    </row>
    <row r="67" spans="1:14" x14ac:dyDescent="0.25">
      <c r="A67" s="26" t="s">
        <v>2218</v>
      </c>
      <c r="B67" s="26" t="s">
        <v>2219</v>
      </c>
      <c r="C67" s="30" t="s">
        <v>50</v>
      </c>
      <c r="D67" s="30" t="s">
        <v>2087</v>
      </c>
      <c r="E67" s="64" t="s">
        <v>2092</v>
      </c>
      <c r="F67" s="98" t="s">
        <v>2093</v>
      </c>
      <c r="G67" s="35">
        <v>16</v>
      </c>
      <c r="H67" s="40">
        <v>7.3</v>
      </c>
      <c r="I67" s="38" t="s">
        <v>2220</v>
      </c>
      <c r="J67" s="34">
        <f>IFERROR(_xlfn.XLOOKUP(I67,Index!$A:$A,Index!$B:$B),"")</f>
        <v>708</v>
      </c>
      <c r="K67" s="1"/>
      <c r="L67" s="1"/>
      <c r="M67" s="1"/>
      <c r="N67" s="1"/>
    </row>
    <row r="68" spans="1:14" x14ac:dyDescent="0.25">
      <c r="A68" s="26"/>
      <c r="B68" s="26"/>
      <c r="C68" s="30" t="s">
        <v>2091</v>
      </c>
      <c r="D68" s="30"/>
      <c r="E68" s="64" t="s">
        <v>2095</v>
      </c>
      <c r="F68" s="98" t="s">
        <v>2096</v>
      </c>
      <c r="G68" s="35">
        <v>19</v>
      </c>
      <c r="H68" s="40">
        <v>8.6</v>
      </c>
      <c r="I68" s="38" t="s">
        <v>2221</v>
      </c>
      <c r="J68" s="34">
        <f>IFERROR(_xlfn.XLOOKUP(I68,Index!$A:$A,Index!$B:$B),"")</f>
        <v>1252</v>
      </c>
      <c r="K68" s="1"/>
      <c r="L68" s="1"/>
      <c r="M68" s="1"/>
      <c r="N68" s="1"/>
    </row>
    <row r="69" spans="1:14" x14ac:dyDescent="0.25">
      <c r="A69" s="26"/>
      <c r="B69" s="26"/>
      <c r="C69" s="30"/>
      <c r="D69" s="30"/>
      <c r="E69" s="36" t="s">
        <v>2098</v>
      </c>
      <c r="F69" s="98" t="s">
        <v>2099</v>
      </c>
      <c r="G69" s="35">
        <v>20</v>
      </c>
      <c r="H69" s="40">
        <v>9.1</v>
      </c>
      <c r="I69" s="38" t="s">
        <v>2222</v>
      </c>
      <c r="J69" s="34">
        <f>IFERROR(_xlfn.XLOOKUP(I69,Index!$A:$A,Index!$B:$B),"")</f>
        <v>771</v>
      </c>
      <c r="K69" s="1"/>
      <c r="L69" s="1"/>
      <c r="M69" s="1"/>
      <c r="N69" s="1"/>
    </row>
    <row r="70" spans="1:14" x14ac:dyDescent="0.25">
      <c r="A70" s="26"/>
      <c r="B70" s="26"/>
      <c r="C70" s="30"/>
      <c r="D70" s="30"/>
      <c r="E70" s="36" t="s">
        <v>2104</v>
      </c>
      <c r="F70" s="98" t="s">
        <v>2105</v>
      </c>
      <c r="G70" s="35">
        <v>30</v>
      </c>
      <c r="H70" s="40">
        <v>14</v>
      </c>
      <c r="I70" s="38" t="s">
        <v>2223</v>
      </c>
      <c r="J70" s="34">
        <f>IFERROR(_xlfn.XLOOKUP(I70,Index!$A:$A,Index!$B:$B),"")</f>
        <v>1015</v>
      </c>
      <c r="K70" s="1"/>
      <c r="L70" s="1"/>
      <c r="M70" s="1"/>
      <c r="N70" s="1"/>
    </row>
    <row r="71" spans="1:14" x14ac:dyDescent="0.25">
      <c r="A71" s="26"/>
      <c r="B71" s="26"/>
      <c r="C71" s="30"/>
      <c r="D71" s="30"/>
      <c r="E71" s="36" t="s">
        <v>2107</v>
      </c>
      <c r="F71" s="98" t="s">
        <v>2108</v>
      </c>
      <c r="G71" s="35">
        <v>39</v>
      </c>
      <c r="H71" s="40">
        <v>18</v>
      </c>
      <c r="I71" s="38" t="s">
        <v>2224</v>
      </c>
      <c r="J71" s="34">
        <f>IFERROR(_xlfn.XLOOKUP(I71,Index!$A:$A,Index!$B:$B),"")</f>
        <v>1064</v>
      </c>
      <c r="K71" s="1"/>
      <c r="L71" s="1"/>
      <c r="M71" s="1"/>
      <c r="N71" s="1"/>
    </row>
    <row r="72" spans="1:14" x14ac:dyDescent="0.25">
      <c r="A72" s="26"/>
      <c r="B72" s="26"/>
      <c r="C72" s="30"/>
      <c r="D72" s="30"/>
      <c r="E72" s="36" t="s">
        <v>2110</v>
      </c>
      <c r="F72" s="98" t="s">
        <v>2111</v>
      </c>
      <c r="G72" s="35">
        <v>40</v>
      </c>
      <c r="H72" s="40">
        <v>18</v>
      </c>
      <c r="I72" s="38" t="s">
        <v>2225</v>
      </c>
      <c r="J72" s="34">
        <f>IFERROR(_xlfn.XLOOKUP(I72,Index!$A:$A,Index!$B:$B),"")</f>
        <v>1142</v>
      </c>
      <c r="K72" s="1"/>
      <c r="L72" s="1"/>
      <c r="M72" s="1"/>
      <c r="N72" s="1"/>
    </row>
    <row r="73" spans="1:14" x14ac:dyDescent="0.25">
      <c r="A73" s="26"/>
      <c r="B73" s="26"/>
      <c r="C73" s="30"/>
      <c r="D73" s="30"/>
      <c r="E73" s="36" t="s">
        <v>2113</v>
      </c>
      <c r="F73" s="98" t="s">
        <v>2114</v>
      </c>
      <c r="G73" s="35">
        <v>50</v>
      </c>
      <c r="H73" s="40">
        <v>23</v>
      </c>
      <c r="I73" s="38" t="s">
        <v>2226</v>
      </c>
      <c r="J73" s="34">
        <f>IFERROR(_xlfn.XLOOKUP(I73,Index!$A:$A,Index!$B:$B),"")</f>
        <v>1427</v>
      </c>
      <c r="K73" s="1"/>
      <c r="L73" s="1"/>
      <c r="M73" s="1"/>
      <c r="N73" s="1"/>
    </row>
    <row r="74" spans="1:14" x14ac:dyDescent="0.25">
      <c r="A74" s="26"/>
      <c r="B74" s="26"/>
      <c r="C74" s="30"/>
      <c r="D74" s="30"/>
      <c r="E74" s="36" t="s">
        <v>2116</v>
      </c>
      <c r="F74" s="98" t="s">
        <v>2117</v>
      </c>
      <c r="G74" s="35">
        <v>52</v>
      </c>
      <c r="H74" s="40">
        <v>24</v>
      </c>
      <c r="I74" s="38" t="s">
        <v>2227</v>
      </c>
      <c r="J74" s="34">
        <f>IFERROR(_xlfn.XLOOKUP(I74,Index!$A:$A,Index!$B:$B),"")</f>
        <v>1610</v>
      </c>
      <c r="K74" s="1"/>
      <c r="L74" s="1"/>
      <c r="M74" s="1"/>
      <c r="N74" s="1"/>
    </row>
    <row r="75" spans="1:14" x14ac:dyDescent="0.25">
      <c r="A75" s="26"/>
      <c r="B75" s="26"/>
      <c r="C75" s="30"/>
      <c r="D75" s="30"/>
      <c r="E75" s="36" t="s">
        <v>2122</v>
      </c>
      <c r="F75" s="98" t="s">
        <v>2123</v>
      </c>
      <c r="G75" s="35">
        <v>85</v>
      </c>
      <c r="H75" s="40">
        <v>39</v>
      </c>
      <c r="I75" s="38" t="s">
        <v>2228</v>
      </c>
      <c r="J75" s="34">
        <f>IFERROR(_xlfn.XLOOKUP(I75,Index!$A:$A,Index!$B:$B),"")</f>
        <v>2209</v>
      </c>
      <c r="K75" s="1"/>
      <c r="L75" s="1"/>
      <c r="M75" s="1"/>
      <c r="N75" s="1"/>
    </row>
    <row r="76" spans="1:14" x14ac:dyDescent="0.25">
      <c r="A76" s="26"/>
      <c r="B76" s="26"/>
      <c r="C76" s="30"/>
      <c r="D76" s="30"/>
      <c r="E76" s="36" t="s">
        <v>2125</v>
      </c>
      <c r="F76" s="98" t="s">
        <v>2126</v>
      </c>
      <c r="G76" s="35">
        <v>106</v>
      </c>
      <c r="H76" s="40">
        <v>48</v>
      </c>
      <c r="I76" s="38" t="s">
        <v>2229</v>
      </c>
      <c r="J76" s="34">
        <f>IFERROR(_xlfn.XLOOKUP(I76,Index!$A:$A,Index!$B:$B),"")</f>
        <v>2480</v>
      </c>
      <c r="K76" s="1"/>
      <c r="L76" s="1"/>
      <c r="M76" s="1"/>
      <c r="N76" s="1"/>
    </row>
    <row r="77" spans="1:14" x14ac:dyDescent="0.25">
      <c r="A77" s="26"/>
      <c r="B77" s="26"/>
      <c r="C77" s="30"/>
      <c r="D77" s="30"/>
      <c r="E77" s="36" t="s">
        <v>2128</v>
      </c>
      <c r="F77" s="98" t="s">
        <v>2129</v>
      </c>
      <c r="G77" s="35">
        <v>110</v>
      </c>
      <c r="H77" s="40">
        <v>50</v>
      </c>
      <c r="I77" s="38" t="s">
        <v>2230</v>
      </c>
      <c r="J77" s="34">
        <f>IFERROR(_xlfn.XLOOKUP(I77,Index!$A:$A,Index!$B:$B),"")</f>
        <v>2556</v>
      </c>
      <c r="K77" s="1"/>
      <c r="L77" s="1"/>
      <c r="M77" s="1"/>
      <c r="N77" s="1"/>
    </row>
    <row r="78" spans="1:14" x14ac:dyDescent="0.25">
      <c r="A78" s="26"/>
      <c r="B78" s="26"/>
      <c r="C78" s="30"/>
      <c r="D78" s="30"/>
      <c r="E78" s="36" t="s">
        <v>2131</v>
      </c>
      <c r="F78" s="98" t="s">
        <v>2132</v>
      </c>
      <c r="G78" s="35">
        <v>113</v>
      </c>
      <c r="H78" s="40">
        <v>51</v>
      </c>
      <c r="I78" s="38" t="s">
        <v>2231</v>
      </c>
      <c r="J78" s="34">
        <f>IFERROR(_xlfn.XLOOKUP(I78,Index!$A:$A,Index!$B:$B),"")</f>
        <v>2636</v>
      </c>
      <c r="K78" s="1"/>
      <c r="L78" s="1"/>
      <c r="M78" s="1"/>
      <c r="N78" s="1"/>
    </row>
    <row r="79" spans="1:14" x14ac:dyDescent="0.25">
      <c r="A79" s="26"/>
      <c r="B79" s="26"/>
      <c r="C79" s="30"/>
      <c r="D79" s="30"/>
      <c r="E79" s="36" t="s">
        <v>2134</v>
      </c>
      <c r="F79" s="98" t="s">
        <v>2135</v>
      </c>
      <c r="G79" s="35">
        <v>167</v>
      </c>
      <c r="H79" s="40">
        <v>76</v>
      </c>
      <c r="I79" s="38" t="s">
        <v>2232</v>
      </c>
      <c r="J79" s="34">
        <f>IFERROR(_xlfn.XLOOKUP(I79,Index!$A:$A,Index!$B:$B),"")</f>
        <v>3102</v>
      </c>
      <c r="K79" s="1"/>
      <c r="L79" s="1"/>
      <c r="M79" s="1"/>
      <c r="N79" s="1"/>
    </row>
    <row r="80" spans="1:14" x14ac:dyDescent="0.25">
      <c r="A80" s="26"/>
      <c r="B80" s="26"/>
      <c r="C80" s="90"/>
      <c r="D80" s="31"/>
      <c r="E80" s="36" t="s">
        <v>2137</v>
      </c>
      <c r="F80" s="98" t="s">
        <v>2138</v>
      </c>
      <c r="G80" s="35">
        <v>222</v>
      </c>
      <c r="H80" s="40">
        <v>101</v>
      </c>
      <c r="I80" s="38" t="s">
        <v>2233</v>
      </c>
      <c r="J80" s="34">
        <f>IFERROR(_xlfn.XLOOKUP(I80,Index!$A:$A,Index!$B:$B),"")</f>
        <v>3980</v>
      </c>
      <c r="K80" s="1"/>
      <c r="L80" s="1"/>
      <c r="M80" s="1"/>
      <c r="N80" s="1"/>
    </row>
    <row r="81" spans="1:14" x14ac:dyDescent="0.25">
      <c r="A81" s="26"/>
      <c r="B81" s="26"/>
      <c r="C81" s="30"/>
      <c r="D81" s="30" t="s">
        <v>2140</v>
      </c>
      <c r="E81" s="127" t="s">
        <v>2141</v>
      </c>
      <c r="F81" s="98" t="s">
        <v>2142</v>
      </c>
      <c r="G81" s="35">
        <v>236</v>
      </c>
      <c r="H81" s="40">
        <v>107</v>
      </c>
      <c r="I81" s="38" t="s">
        <v>2234</v>
      </c>
      <c r="J81" s="34">
        <f>IFERROR(_xlfn.XLOOKUP(I81,Index!$A:$A,Index!$B:$B),"")</f>
        <v>5338</v>
      </c>
      <c r="K81" s="1"/>
      <c r="L81" s="1"/>
      <c r="M81" s="1"/>
      <c r="N81" s="1"/>
    </row>
    <row r="82" spans="1:14" x14ac:dyDescent="0.25">
      <c r="A82" s="27"/>
      <c r="B82" s="27"/>
      <c r="C82" s="31"/>
      <c r="D82" s="31"/>
      <c r="E82" s="36" t="s">
        <v>2144</v>
      </c>
      <c r="F82" s="128" t="s">
        <v>2145</v>
      </c>
      <c r="G82" s="35">
        <v>243</v>
      </c>
      <c r="H82" s="40">
        <v>110</v>
      </c>
      <c r="I82" s="38" t="s">
        <v>2235</v>
      </c>
      <c r="J82" s="34">
        <f>IFERROR(_xlfn.XLOOKUP(I82,Index!$A:$A,Index!$B:$B),"")</f>
        <v>6981</v>
      </c>
      <c r="K82" s="1"/>
      <c r="L82" s="1"/>
      <c r="M82" s="1"/>
      <c r="N82" s="1"/>
    </row>
    <row r="83" spans="1:14" x14ac:dyDescent="0.25">
      <c r="A83" s="12"/>
      <c r="B83" s="12"/>
      <c r="C83" s="4"/>
      <c r="D83" s="4"/>
      <c r="K83" s="1"/>
      <c r="L83" s="1"/>
      <c r="M83" s="1"/>
      <c r="N83" s="1"/>
    </row>
    <row r="84" spans="1:14" ht="15.75" x14ac:dyDescent="0.25">
      <c r="A84" s="68" t="s">
        <v>2992</v>
      </c>
      <c r="K84" s="1"/>
      <c r="L84" s="1"/>
      <c r="M84" s="1"/>
      <c r="N84" s="1"/>
    </row>
    <row r="85" spans="1:14" ht="15.75" x14ac:dyDescent="0.25">
      <c r="A85" s="48" t="s">
        <v>102</v>
      </c>
      <c r="K85" s="1"/>
      <c r="L85" s="1"/>
      <c r="M85" s="1"/>
      <c r="N85" s="1"/>
    </row>
    <row r="86" spans="1:14" x14ac:dyDescent="0.25">
      <c r="A86" s="25" t="s">
        <v>35</v>
      </c>
      <c r="B86" s="28" t="s">
        <v>103</v>
      </c>
      <c r="C86" s="335" t="s">
        <v>38</v>
      </c>
      <c r="D86" s="337"/>
      <c r="E86" s="42" t="s">
        <v>40</v>
      </c>
      <c r="F86" s="24" t="s">
        <v>41</v>
      </c>
    </row>
    <row r="87" spans="1:14" x14ac:dyDescent="0.25">
      <c r="A87" s="32"/>
      <c r="B87" s="32"/>
      <c r="C87" s="33" t="s">
        <v>44</v>
      </c>
      <c r="D87" s="33" t="s">
        <v>45</v>
      </c>
      <c r="E87" s="33"/>
      <c r="F87" s="41"/>
    </row>
    <row r="88" spans="1:14" x14ac:dyDescent="0.25">
      <c r="A88" s="26" t="s">
        <v>2993</v>
      </c>
      <c r="B88" s="26" t="s">
        <v>2194</v>
      </c>
      <c r="C88" s="64" t="s">
        <v>2088</v>
      </c>
      <c r="D88" s="98" t="s">
        <v>2089</v>
      </c>
      <c r="E88" s="38" t="s">
        <v>2195</v>
      </c>
      <c r="F88" s="34">
        <f>IFERROR(_xlfn.XLOOKUP(E88,Index!$A:$A,Index!$B:$B),"")</f>
        <v>26.75</v>
      </c>
    </row>
    <row r="89" spans="1:14" x14ac:dyDescent="0.25">
      <c r="A89" s="26"/>
      <c r="B89" s="26"/>
      <c r="C89" s="64" t="s">
        <v>2092</v>
      </c>
      <c r="D89" s="98" t="s">
        <v>2093</v>
      </c>
      <c r="E89" s="38" t="s">
        <v>2195</v>
      </c>
      <c r="F89" s="34">
        <f>IFERROR(_xlfn.XLOOKUP(E89,Index!$A:$A,Index!$B:$B),"")</f>
        <v>26.75</v>
      </c>
    </row>
    <row r="90" spans="1:14" x14ac:dyDescent="0.25">
      <c r="A90" s="26"/>
      <c r="B90" s="26"/>
      <c r="C90" s="64" t="s">
        <v>2095</v>
      </c>
      <c r="D90" s="98" t="s">
        <v>2096</v>
      </c>
      <c r="E90" s="38" t="s">
        <v>2195</v>
      </c>
      <c r="F90" s="34">
        <f>IFERROR(_xlfn.XLOOKUP(E90,Index!$A:$A,Index!$B:$B),"")</f>
        <v>26.75</v>
      </c>
    </row>
    <row r="91" spans="1:14" x14ac:dyDescent="0.25">
      <c r="A91" s="26"/>
      <c r="B91" s="26"/>
      <c r="C91" s="36" t="s">
        <v>2098</v>
      </c>
      <c r="D91" s="98" t="s">
        <v>2099</v>
      </c>
      <c r="E91" s="38" t="s">
        <v>2196</v>
      </c>
      <c r="F91" s="34">
        <f>IFERROR(_xlfn.XLOOKUP(E91,Index!$A:$A,Index!$B:$B),"")</f>
        <v>33.5</v>
      </c>
    </row>
    <row r="92" spans="1:14" x14ac:dyDescent="0.25">
      <c r="A92" s="26"/>
      <c r="B92" s="26"/>
      <c r="C92" s="36" t="s">
        <v>2101</v>
      </c>
      <c r="D92" s="98" t="s">
        <v>2102</v>
      </c>
      <c r="E92" s="38" t="s">
        <v>2196</v>
      </c>
      <c r="F92" s="34">
        <f>IFERROR(_xlfn.XLOOKUP(E92,Index!$A:$A,Index!$B:$B),"")</f>
        <v>33.5</v>
      </c>
    </row>
    <row r="93" spans="1:14" x14ac:dyDescent="0.25">
      <c r="A93" s="26"/>
      <c r="B93" s="26"/>
      <c r="C93" s="36" t="s">
        <v>2104</v>
      </c>
      <c r="D93" s="98" t="s">
        <v>2105</v>
      </c>
      <c r="E93" s="38" t="s">
        <v>2197</v>
      </c>
      <c r="F93" s="34">
        <f>IFERROR(_xlfn.XLOOKUP(E93,Index!$A:$A,Index!$B:$B),"")</f>
        <v>40.5</v>
      </c>
    </row>
    <row r="94" spans="1:14" x14ac:dyDescent="0.25">
      <c r="A94" s="26"/>
      <c r="B94" s="26"/>
      <c r="C94" s="36" t="s">
        <v>2107</v>
      </c>
      <c r="D94" s="98" t="s">
        <v>2108</v>
      </c>
      <c r="E94" s="38" t="s">
        <v>2197</v>
      </c>
      <c r="F94" s="34">
        <f>IFERROR(_xlfn.XLOOKUP(E94,Index!$A:$A,Index!$B:$B),"")</f>
        <v>40.5</v>
      </c>
    </row>
    <row r="95" spans="1:14" x14ac:dyDescent="0.25">
      <c r="A95" s="26"/>
      <c r="B95" s="26"/>
      <c r="C95" s="36" t="s">
        <v>2110</v>
      </c>
      <c r="D95" s="98" t="s">
        <v>2111</v>
      </c>
      <c r="E95" s="38" t="s">
        <v>2198</v>
      </c>
      <c r="F95" s="34">
        <f>IFERROR(_xlfn.XLOOKUP(E95,Index!$A:$A,Index!$B:$B),"")</f>
        <v>43.25</v>
      </c>
    </row>
    <row r="96" spans="1:14" x14ac:dyDescent="0.25">
      <c r="A96" s="26"/>
      <c r="B96" s="26"/>
      <c r="C96" s="36" t="s">
        <v>2113</v>
      </c>
      <c r="D96" s="98" t="s">
        <v>2114</v>
      </c>
      <c r="E96" s="38" t="s">
        <v>2198</v>
      </c>
      <c r="F96" s="34">
        <f>IFERROR(_xlfn.XLOOKUP(E96,Index!$A:$A,Index!$B:$B),"")</f>
        <v>43.25</v>
      </c>
    </row>
    <row r="97" spans="1:6" x14ac:dyDescent="0.25">
      <c r="A97" s="26"/>
      <c r="B97" s="26"/>
      <c r="C97" s="36" t="s">
        <v>2116</v>
      </c>
      <c r="D97" s="98" t="s">
        <v>2117</v>
      </c>
      <c r="E97" s="38" t="s">
        <v>2198</v>
      </c>
      <c r="F97" s="34">
        <f>IFERROR(_xlfn.XLOOKUP(E97,Index!$A:$A,Index!$B:$B),"")</f>
        <v>43.25</v>
      </c>
    </row>
    <row r="98" spans="1:6" x14ac:dyDescent="0.25">
      <c r="A98" s="26"/>
      <c r="B98" s="26"/>
      <c r="C98" s="36" t="s">
        <v>2119</v>
      </c>
      <c r="D98" s="98" t="s">
        <v>2120</v>
      </c>
      <c r="E98" s="38" t="s">
        <v>2199</v>
      </c>
      <c r="F98" s="34">
        <f>IFERROR(_xlfn.XLOOKUP(E98,Index!$A:$A,Index!$B:$B),"")</f>
        <v>59.5</v>
      </c>
    </row>
    <row r="99" spans="1:6" x14ac:dyDescent="0.25">
      <c r="A99" s="26"/>
      <c r="B99" s="26"/>
      <c r="C99" s="36" t="s">
        <v>2122</v>
      </c>
      <c r="D99" s="98" t="s">
        <v>2123</v>
      </c>
      <c r="E99" s="38" t="s">
        <v>2199</v>
      </c>
      <c r="F99" s="34">
        <f>IFERROR(_xlfn.XLOOKUP(E99,Index!$A:$A,Index!$B:$B),"")</f>
        <v>59.5</v>
      </c>
    </row>
    <row r="100" spans="1:6" x14ac:dyDescent="0.25">
      <c r="A100" s="26"/>
      <c r="B100" s="26"/>
      <c r="C100" s="36" t="s">
        <v>2125</v>
      </c>
      <c r="D100" s="98" t="s">
        <v>2126</v>
      </c>
      <c r="E100" s="38" t="s">
        <v>2200</v>
      </c>
      <c r="F100" s="34">
        <f>IFERROR(_xlfn.XLOOKUP(E100,Index!$A:$A,Index!$B:$B),"")</f>
        <v>49.75</v>
      </c>
    </row>
    <row r="101" spans="1:6" x14ac:dyDescent="0.25">
      <c r="A101" s="26"/>
      <c r="B101" s="26"/>
      <c r="C101" s="36" t="s">
        <v>2128</v>
      </c>
      <c r="D101" s="98" t="s">
        <v>2129</v>
      </c>
      <c r="E101" s="38" t="s">
        <v>2200</v>
      </c>
      <c r="F101" s="34">
        <f>IFERROR(_xlfn.XLOOKUP(E101,Index!$A:$A,Index!$B:$B),"")</f>
        <v>49.75</v>
      </c>
    </row>
    <row r="102" spans="1:6" x14ac:dyDescent="0.25">
      <c r="A102" s="26"/>
      <c r="B102" s="26"/>
      <c r="C102" s="36" t="s">
        <v>2131</v>
      </c>
      <c r="D102" s="98" t="s">
        <v>2132</v>
      </c>
      <c r="E102" s="38" t="s">
        <v>2200</v>
      </c>
      <c r="F102" s="34">
        <f>IFERROR(_xlfn.XLOOKUP(E102,Index!$A:$A,Index!$B:$B),"")</f>
        <v>49.75</v>
      </c>
    </row>
    <row r="103" spans="1:6" x14ac:dyDescent="0.25">
      <c r="A103" s="26"/>
      <c r="B103" s="26"/>
      <c r="C103" s="36" t="s">
        <v>2134</v>
      </c>
      <c r="D103" s="98" t="s">
        <v>2135</v>
      </c>
      <c r="E103" s="38" t="s">
        <v>2200</v>
      </c>
      <c r="F103" s="34">
        <f>IFERROR(_xlfn.XLOOKUP(E103,Index!$A:$A,Index!$B:$B),"")</f>
        <v>49.75</v>
      </c>
    </row>
    <row r="104" spans="1:6" x14ac:dyDescent="0.25">
      <c r="A104" s="26"/>
      <c r="B104" s="26"/>
      <c r="C104" s="36" t="s">
        <v>2137</v>
      </c>
      <c r="D104" s="98" t="s">
        <v>2138</v>
      </c>
      <c r="E104" s="38" t="s">
        <v>2201</v>
      </c>
      <c r="F104" s="34">
        <f>IFERROR(_xlfn.XLOOKUP(E104,Index!$A:$A,Index!$B:$B),"")</f>
        <v>60.75</v>
      </c>
    </row>
    <row r="105" spans="1:6" x14ac:dyDescent="0.25">
      <c r="A105" s="26"/>
      <c r="B105" s="26"/>
      <c r="C105" s="36" t="s">
        <v>2141</v>
      </c>
      <c r="D105" s="98" t="s">
        <v>2142</v>
      </c>
      <c r="E105" s="38" t="s">
        <v>2201</v>
      </c>
      <c r="F105" s="34">
        <f>IFERROR(_xlfn.XLOOKUP(E105,Index!$A:$A,Index!$B:$B),"")</f>
        <v>60.75</v>
      </c>
    </row>
    <row r="106" spans="1:6" x14ac:dyDescent="0.25">
      <c r="A106" s="26"/>
      <c r="B106" s="26"/>
      <c r="C106" s="36" t="s">
        <v>2144</v>
      </c>
      <c r="D106" s="98" t="s">
        <v>2145</v>
      </c>
      <c r="E106" s="38" t="s">
        <v>2202</v>
      </c>
      <c r="F106" s="34">
        <f>IFERROR(_xlfn.XLOOKUP(E106,Index!$A:$A,Index!$B:$B),"")</f>
        <v>104</v>
      </c>
    </row>
    <row r="107" spans="1:6" x14ac:dyDescent="0.25">
      <c r="A107" s="26"/>
      <c r="B107" s="26"/>
      <c r="C107" s="36" t="s">
        <v>2147</v>
      </c>
      <c r="D107" s="98" t="s">
        <v>2148</v>
      </c>
      <c r="E107" s="38" t="s">
        <v>2201</v>
      </c>
      <c r="F107" s="34">
        <f>IFERROR(_xlfn.XLOOKUP(E107,Index!$A:$A,Index!$B:$B),"")</f>
        <v>60.75</v>
      </c>
    </row>
    <row r="108" spans="1:6" x14ac:dyDescent="0.25">
      <c r="A108" s="26"/>
      <c r="B108" s="26"/>
      <c r="C108" s="36" t="s">
        <v>2150</v>
      </c>
      <c r="D108" s="98" t="s">
        <v>2151</v>
      </c>
      <c r="E108" s="38" t="s">
        <v>2202</v>
      </c>
      <c r="F108" s="34">
        <f>IFERROR(_xlfn.XLOOKUP(E108,Index!$A:$A,Index!$B:$B),"")</f>
        <v>104</v>
      </c>
    </row>
    <row r="109" spans="1:6" x14ac:dyDescent="0.25">
      <c r="A109" s="26"/>
      <c r="B109" s="26"/>
      <c r="C109" s="36" t="s">
        <v>2153</v>
      </c>
      <c r="D109" s="98" t="s">
        <v>2154</v>
      </c>
      <c r="E109" s="38" t="s">
        <v>2202</v>
      </c>
      <c r="F109" s="34">
        <f>IFERROR(_xlfn.XLOOKUP(E109,Index!$A:$A,Index!$B:$B),"")</f>
        <v>104</v>
      </c>
    </row>
    <row r="110" spans="1:6" x14ac:dyDescent="0.25">
      <c r="A110" s="26"/>
      <c r="B110" s="26"/>
      <c r="C110" s="36" t="s">
        <v>2156</v>
      </c>
      <c r="D110" s="98" t="s">
        <v>2157</v>
      </c>
      <c r="E110" s="38" t="s">
        <v>2202</v>
      </c>
      <c r="F110" s="34">
        <f>IFERROR(_xlfn.XLOOKUP(E110,Index!$A:$A,Index!$B:$B),"")</f>
        <v>104</v>
      </c>
    </row>
    <row r="111" spans="1:6" x14ac:dyDescent="0.25">
      <c r="A111" s="26"/>
      <c r="B111" s="26"/>
      <c r="C111" s="36" t="s">
        <v>2159</v>
      </c>
      <c r="D111" s="98" t="s">
        <v>2160</v>
      </c>
      <c r="E111" s="38" t="s">
        <v>2202</v>
      </c>
      <c r="F111" s="34">
        <f>IFERROR(_xlfn.XLOOKUP(E111,Index!$A:$A,Index!$B:$B),"")</f>
        <v>104</v>
      </c>
    </row>
    <row r="112" spans="1:6" x14ac:dyDescent="0.25">
      <c r="A112" s="26"/>
      <c r="B112" s="26"/>
      <c r="C112" s="36" t="s">
        <v>2162</v>
      </c>
      <c r="D112" s="98" t="s">
        <v>2163</v>
      </c>
      <c r="E112" s="38" t="s">
        <v>2203</v>
      </c>
      <c r="F112" s="34">
        <f>IFERROR(_xlfn.XLOOKUP(E112,Index!$A:$A,Index!$B:$B),"")</f>
        <v>104</v>
      </c>
    </row>
    <row r="113" spans="1:6" x14ac:dyDescent="0.25">
      <c r="A113" s="26"/>
      <c r="B113" s="26"/>
      <c r="C113" s="36" t="s">
        <v>2165</v>
      </c>
      <c r="D113" s="98" t="s">
        <v>2166</v>
      </c>
      <c r="E113" s="38" t="s">
        <v>2202</v>
      </c>
      <c r="F113" s="34">
        <f>IFERROR(_xlfn.XLOOKUP(E113,Index!$A:$A,Index!$B:$B),"")</f>
        <v>104</v>
      </c>
    </row>
    <row r="114" spans="1:6" x14ac:dyDescent="0.25">
      <c r="A114" s="26"/>
      <c r="B114" s="26"/>
      <c r="C114" s="36" t="s">
        <v>2168</v>
      </c>
      <c r="D114" s="98" t="s">
        <v>2169</v>
      </c>
      <c r="E114" s="38" t="s">
        <v>2202</v>
      </c>
      <c r="F114" s="34">
        <f>IFERROR(_xlfn.XLOOKUP(E114,Index!$A:$A,Index!$B:$B),"")</f>
        <v>104</v>
      </c>
    </row>
    <row r="115" spans="1:6" x14ac:dyDescent="0.25">
      <c r="A115" s="26"/>
      <c r="B115" s="26"/>
      <c r="C115" s="36" t="s">
        <v>2171</v>
      </c>
      <c r="D115" s="98" t="s">
        <v>2172</v>
      </c>
      <c r="E115" s="38" t="s">
        <v>2203</v>
      </c>
      <c r="F115" s="34">
        <f>IFERROR(_xlfn.XLOOKUP(E115,Index!$A:$A,Index!$B:$B),"")</f>
        <v>104</v>
      </c>
    </row>
    <row r="116" spans="1:6" x14ac:dyDescent="0.25">
      <c r="A116" s="99"/>
      <c r="B116" s="121"/>
      <c r="C116" s="36" t="s">
        <v>2174</v>
      </c>
      <c r="D116" s="98" t="s">
        <v>2175</v>
      </c>
      <c r="E116" s="38" t="s">
        <v>2203</v>
      </c>
      <c r="F116" s="34">
        <f>IFERROR(_xlfn.XLOOKUP(E116,Index!$A:$A,Index!$B:$B),"")</f>
        <v>104</v>
      </c>
    </row>
    <row r="117" spans="1:6" x14ac:dyDescent="0.25">
      <c r="B117" s="26" t="s">
        <v>1361</v>
      </c>
      <c r="C117" s="64" t="s">
        <v>2088</v>
      </c>
      <c r="D117" s="98" t="s">
        <v>2089</v>
      </c>
      <c r="E117" s="38" t="s">
        <v>1991</v>
      </c>
      <c r="F117" s="34">
        <f>IFERROR(_xlfn.XLOOKUP(E117,Index!$A:$A,Index!$B:$B),"")</f>
        <v>25.5</v>
      </c>
    </row>
    <row r="118" spans="1:6" x14ac:dyDescent="0.25">
      <c r="B118" s="26"/>
      <c r="C118" s="64" t="s">
        <v>2092</v>
      </c>
      <c r="D118" s="98" t="s">
        <v>2093</v>
      </c>
      <c r="E118" s="38" t="s">
        <v>1991</v>
      </c>
      <c r="F118" s="34">
        <f>IFERROR(_xlfn.XLOOKUP(E118,Index!$A:$A,Index!$B:$B),"")</f>
        <v>25.5</v>
      </c>
    </row>
    <row r="119" spans="1:6" x14ac:dyDescent="0.25">
      <c r="B119" s="26"/>
      <c r="C119" s="64" t="s">
        <v>2095</v>
      </c>
      <c r="D119" s="98" t="s">
        <v>2096</v>
      </c>
      <c r="E119" s="38" t="s">
        <v>1991</v>
      </c>
      <c r="F119" s="34">
        <f>IFERROR(_xlfn.XLOOKUP(E119,Index!$A:$A,Index!$B:$B),"")</f>
        <v>25.5</v>
      </c>
    </row>
    <row r="120" spans="1:6" x14ac:dyDescent="0.25">
      <c r="B120" s="26"/>
      <c r="C120" s="36" t="s">
        <v>2098</v>
      </c>
      <c r="D120" s="98" t="s">
        <v>2099</v>
      </c>
      <c r="E120" s="38" t="s">
        <v>1991</v>
      </c>
      <c r="F120" s="34">
        <f>IFERROR(_xlfn.XLOOKUP(E120,Index!$A:$A,Index!$B:$B),"")</f>
        <v>25.5</v>
      </c>
    </row>
    <row r="121" spans="1:6" x14ac:dyDescent="0.25">
      <c r="B121" s="26"/>
      <c r="C121" s="36" t="s">
        <v>2101</v>
      </c>
      <c r="D121" s="98" t="s">
        <v>2102</v>
      </c>
      <c r="E121" s="38" t="s">
        <v>1991</v>
      </c>
      <c r="F121" s="34">
        <f>IFERROR(_xlfn.XLOOKUP(E121,Index!$A:$A,Index!$B:$B),"")</f>
        <v>25.5</v>
      </c>
    </row>
    <row r="122" spans="1:6" x14ac:dyDescent="0.25">
      <c r="B122" s="26"/>
      <c r="C122" s="36" t="s">
        <v>2104</v>
      </c>
      <c r="D122" s="98" t="s">
        <v>2105</v>
      </c>
      <c r="E122" s="38" t="s">
        <v>2106</v>
      </c>
      <c r="F122" s="34">
        <f>IFERROR(_xlfn.XLOOKUP(E122,Index!$A:$A,Index!$B:$B),"")</f>
        <v>946.5</v>
      </c>
    </row>
    <row r="123" spans="1:6" x14ac:dyDescent="0.25">
      <c r="B123" s="26"/>
      <c r="C123" s="36" t="s">
        <v>2107</v>
      </c>
      <c r="D123" s="98" t="s">
        <v>2108</v>
      </c>
      <c r="E123" s="38" t="s">
        <v>1363</v>
      </c>
      <c r="F123" s="34">
        <f>IFERROR(_xlfn.XLOOKUP(E123,Index!$A:$A,Index!$B:$B),"")</f>
        <v>25.5</v>
      </c>
    </row>
    <row r="124" spans="1:6" x14ac:dyDescent="0.25">
      <c r="B124" s="26"/>
      <c r="C124" s="36" t="s">
        <v>2110</v>
      </c>
      <c r="D124" s="98" t="s">
        <v>2111</v>
      </c>
      <c r="E124" s="38" t="s">
        <v>1991</v>
      </c>
      <c r="F124" s="34">
        <f>IFERROR(_xlfn.XLOOKUP(E124,Index!$A:$A,Index!$B:$B),"")</f>
        <v>25.5</v>
      </c>
    </row>
    <row r="125" spans="1:6" x14ac:dyDescent="0.25">
      <c r="B125" s="26"/>
      <c r="C125" s="36" t="s">
        <v>2113</v>
      </c>
      <c r="D125" s="98" t="s">
        <v>2114</v>
      </c>
      <c r="E125" s="38" t="s">
        <v>1991</v>
      </c>
      <c r="F125" s="34">
        <f>IFERROR(_xlfn.XLOOKUP(E125,Index!$A:$A,Index!$B:$B),"")</f>
        <v>25.5</v>
      </c>
    </row>
    <row r="126" spans="1:6" x14ac:dyDescent="0.25">
      <c r="B126" s="26"/>
      <c r="C126" s="36" t="s">
        <v>2116</v>
      </c>
      <c r="D126" s="98" t="s">
        <v>2117</v>
      </c>
      <c r="E126" s="38" t="s">
        <v>1991</v>
      </c>
      <c r="F126" s="34">
        <f>IFERROR(_xlfn.XLOOKUP(E126,Index!$A:$A,Index!$B:$B),"")</f>
        <v>25.5</v>
      </c>
    </row>
    <row r="127" spans="1:6" x14ac:dyDescent="0.25">
      <c r="B127" s="26"/>
      <c r="C127" s="36" t="s">
        <v>2119</v>
      </c>
      <c r="D127" s="98" t="s">
        <v>2120</v>
      </c>
      <c r="E127" s="38" t="s">
        <v>1991</v>
      </c>
      <c r="F127" s="34">
        <f>IFERROR(_xlfn.XLOOKUP(E127,Index!$A:$A,Index!$B:$B),"")</f>
        <v>25.5</v>
      </c>
    </row>
    <row r="128" spans="1:6" x14ac:dyDescent="0.25">
      <c r="B128" s="26"/>
      <c r="C128" s="36" t="s">
        <v>2122</v>
      </c>
      <c r="D128" s="98" t="s">
        <v>2123</v>
      </c>
      <c r="E128" s="38" t="s">
        <v>1991</v>
      </c>
      <c r="F128" s="34">
        <f>IFERROR(_xlfn.XLOOKUP(E128,Index!$A:$A,Index!$B:$B),"")</f>
        <v>25.5</v>
      </c>
    </row>
    <row r="129" spans="2:6" x14ac:dyDescent="0.25">
      <c r="B129" s="26"/>
      <c r="C129" s="36" t="s">
        <v>2125</v>
      </c>
      <c r="D129" s="98" t="s">
        <v>2126</v>
      </c>
      <c r="E129" s="38" t="s">
        <v>1363</v>
      </c>
      <c r="F129" s="34">
        <f>IFERROR(_xlfn.XLOOKUP(E129,Index!$A:$A,Index!$B:$B),"")</f>
        <v>25.5</v>
      </c>
    </row>
    <row r="130" spans="2:6" x14ac:dyDescent="0.25">
      <c r="B130" s="26"/>
      <c r="C130" s="36" t="s">
        <v>2128</v>
      </c>
      <c r="D130" s="98" t="s">
        <v>2129</v>
      </c>
      <c r="E130" s="38" t="s">
        <v>1363</v>
      </c>
      <c r="F130" s="34">
        <f>IFERROR(_xlfn.XLOOKUP(E130,Index!$A:$A,Index!$B:$B),"")</f>
        <v>25.5</v>
      </c>
    </row>
    <row r="131" spans="2:6" x14ac:dyDescent="0.25">
      <c r="B131" s="26"/>
      <c r="C131" s="36" t="s">
        <v>2131</v>
      </c>
      <c r="D131" s="98" t="s">
        <v>2132</v>
      </c>
      <c r="E131" s="38" t="s">
        <v>1363</v>
      </c>
      <c r="F131" s="34">
        <f>IFERROR(_xlfn.XLOOKUP(E131,Index!$A:$A,Index!$B:$B),"")</f>
        <v>25.5</v>
      </c>
    </row>
    <row r="132" spans="2:6" x14ac:dyDescent="0.25">
      <c r="B132" s="26"/>
      <c r="C132" s="36" t="s">
        <v>2134</v>
      </c>
      <c r="D132" s="98" t="s">
        <v>2135</v>
      </c>
      <c r="E132" s="38" t="s">
        <v>1363</v>
      </c>
      <c r="F132" s="34">
        <f>IFERROR(_xlfn.XLOOKUP(E132,Index!$A:$A,Index!$B:$B),"")</f>
        <v>25.5</v>
      </c>
    </row>
    <row r="133" spans="2:6" x14ac:dyDescent="0.25">
      <c r="B133" s="26"/>
      <c r="C133" s="36" t="s">
        <v>2137</v>
      </c>
      <c r="D133" s="98" t="s">
        <v>2138</v>
      </c>
      <c r="E133" s="38" t="s">
        <v>1363</v>
      </c>
      <c r="F133" s="34">
        <f>IFERROR(_xlfn.XLOOKUP(E133,Index!$A:$A,Index!$B:$B),"")</f>
        <v>25.5</v>
      </c>
    </row>
    <row r="134" spans="2:6" x14ac:dyDescent="0.25">
      <c r="B134" s="26"/>
      <c r="C134" s="36" t="s">
        <v>2141</v>
      </c>
      <c r="D134" s="98" t="s">
        <v>2142</v>
      </c>
      <c r="E134" s="38" t="s">
        <v>1363</v>
      </c>
      <c r="F134" s="34">
        <f>IFERROR(_xlfn.XLOOKUP(E134,Index!$A:$A,Index!$B:$B),"")</f>
        <v>25.5</v>
      </c>
    </row>
    <row r="135" spans="2:6" x14ac:dyDescent="0.25">
      <c r="B135" s="26"/>
      <c r="C135" s="36" t="s">
        <v>2144</v>
      </c>
      <c r="D135" s="98" t="s">
        <v>2145</v>
      </c>
      <c r="E135" s="38" t="s">
        <v>178</v>
      </c>
      <c r="F135" s="34">
        <f>F136</f>
        <v>25.5</v>
      </c>
    </row>
    <row r="136" spans="2:6" x14ac:dyDescent="0.25">
      <c r="B136" s="27"/>
      <c r="C136" s="36" t="s">
        <v>2147</v>
      </c>
      <c r="D136" s="98" t="s">
        <v>2148</v>
      </c>
      <c r="E136" s="38" t="s">
        <v>1363</v>
      </c>
      <c r="F136" s="34">
        <f>IFERROR(_xlfn.XLOOKUP(E136,Index!$A:$A,Index!$B:$B),"")</f>
        <v>25.5</v>
      </c>
    </row>
    <row r="137" spans="2:6" x14ac:dyDescent="0.25">
      <c r="B137" s="26" t="s">
        <v>2204</v>
      </c>
      <c r="C137" s="64" t="s">
        <v>2088</v>
      </c>
      <c r="D137" s="98" t="s">
        <v>2089</v>
      </c>
      <c r="E137" s="38" t="s">
        <v>2205</v>
      </c>
      <c r="F137" s="34">
        <f>IFERROR(_xlfn.XLOOKUP(E137,Index!$A:$A,Index!$B:$B),"")</f>
        <v>121</v>
      </c>
    </row>
    <row r="138" spans="2:6" x14ac:dyDescent="0.25">
      <c r="B138" s="26"/>
      <c r="C138" s="64" t="s">
        <v>2092</v>
      </c>
      <c r="D138" s="98" t="s">
        <v>2093</v>
      </c>
      <c r="E138" s="38" t="s">
        <v>2205</v>
      </c>
      <c r="F138" s="34">
        <f>IFERROR(_xlfn.XLOOKUP(E138,Index!$A:$A,Index!$B:$B),"")</f>
        <v>121</v>
      </c>
    </row>
    <row r="139" spans="2:6" x14ac:dyDescent="0.25">
      <c r="B139" s="26"/>
      <c r="C139" s="64" t="s">
        <v>2095</v>
      </c>
      <c r="D139" s="98" t="s">
        <v>2096</v>
      </c>
      <c r="E139" s="38" t="s">
        <v>2205</v>
      </c>
      <c r="F139" s="34">
        <f>IFERROR(_xlfn.XLOOKUP(E139,Index!$A:$A,Index!$B:$B),"")</f>
        <v>121</v>
      </c>
    </row>
    <row r="140" spans="2:6" x14ac:dyDescent="0.25">
      <c r="B140" s="26"/>
      <c r="C140" s="36" t="s">
        <v>2098</v>
      </c>
      <c r="D140" s="98" t="s">
        <v>2099</v>
      </c>
      <c r="E140" s="38" t="s">
        <v>2206</v>
      </c>
      <c r="F140" s="34">
        <f>IFERROR(_xlfn.XLOOKUP(E140,Index!$A:$A,Index!$B:$B),"")</f>
        <v>121</v>
      </c>
    </row>
    <row r="141" spans="2:6" x14ac:dyDescent="0.25">
      <c r="B141" s="26"/>
      <c r="C141" s="36" t="s">
        <v>2101</v>
      </c>
      <c r="D141" s="98" t="s">
        <v>2102</v>
      </c>
      <c r="E141" s="38" t="s">
        <v>2207</v>
      </c>
      <c r="F141" s="34">
        <f>IFERROR(_xlfn.XLOOKUP(E141,Index!$A:$A,Index!$B:$B),"")</f>
        <v>121</v>
      </c>
    </row>
    <row r="142" spans="2:6" x14ac:dyDescent="0.25">
      <c r="B142" s="26"/>
      <c r="C142" s="36" t="s">
        <v>2104</v>
      </c>
      <c r="D142" s="98" t="s">
        <v>2105</v>
      </c>
      <c r="E142" s="38" t="s">
        <v>2208</v>
      </c>
      <c r="F142" s="34">
        <f>IFERROR(_xlfn.XLOOKUP(E142,Index!$A:$A,Index!$B:$B),"")</f>
        <v>146.5</v>
      </c>
    </row>
    <row r="143" spans="2:6" x14ac:dyDescent="0.25">
      <c r="B143" s="26"/>
      <c r="C143" s="36" t="s">
        <v>2107</v>
      </c>
      <c r="D143" s="98" t="s">
        <v>2108</v>
      </c>
      <c r="E143" s="38" t="s">
        <v>2208</v>
      </c>
      <c r="F143" s="34">
        <f>IFERROR(_xlfn.XLOOKUP(E143,Index!$A:$A,Index!$B:$B),"")</f>
        <v>146.5</v>
      </c>
    </row>
    <row r="144" spans="2:6" x14ac:dyDescent="0.25">
      <c r="B144" s="26"/>
      <c r="C144" s="36" t="s">
        <v>2110</v>
      </c>
      <c r="D144" s="98" t="s">
        <v>2111</v>
      </c>
      <c r="E144" s="38" t="s">
        <v>2209</v>
      </c>
      <c r="F144" s="34">
        <f>IFERROR(_xlfn.XLOOKUP(E144,Index!$A:$A,Index!$B:$B),"")</f>
        <v>180</v>
      </c>
    </row>
    <row r="145" spans="2:6" x14ac:dyDescent="0.25">
      <c r="B145" s="26"/>
      <c r="C145" s="36" t="s">
        <v>2113</v>
      </c>
      <c r="D145" s="98" t="s">
        <v>2114</v>
      </c>
      <c r="E145" s="38" t="s">
        <v>2209</v>
      </c>
      <c r="F145" s="34">
        <f>IFERROR(_xlfn.XLOOKUP(E145,Index!$A:$A,Index!$B:$B),"")</f>
        <v>180</v>
      </c>
    </row>
    <row r="146" spans="2:6" x14ac:dyDescent="0.25">
      <c r="B146" s="26"/>
      <c r="C146" s="36" t="s">
        <v>2116</v>
      </c>
      <c r="D146" s="98" t="s">
        <v>2117</v>
      </c>
      <c r="E146" s="38" t="s">
        <v>2209</v>
      </c>
      <c r="F146" s="34">
        <f>IFERROR(_xlfn.XLOOKUP(E146,Index!$A:$A,Index!$B:$B),"")</f>
        <v>180</v>
      </c>
    </row>
    <row r="147" spans="2:6" x14ac:dyDescent="0.25">
      <c r="B147" s="26"/>
      <c r="C147" s="36" t="s">
        <v>2119</v>
      </c>
      <c r="D147" s="98" t="s">
        <v>2120</v>
      </c>
      <c r="E147" s="38" t="s">
        <v>2210</v>
      </c>
      <c r="F147" s="34">
        <f>IFERROR(_xlfn.XLOOKUP(E147,Index!$A:$A,Index!$B:$B),"")</f>
        <v>281.5</v>
      </c>
    </row>
    <row r="148" spans="2:6" x14ac:dyDescent="0.25">
      <c r="B148" s="26"/>
      <c r="C148" s="36" t="s">
        <v>2122</v>
      </c>
      <c r="D148" s="98" t="s">
        <v>2123</v>
      </c>
      <c r="E148" s="38" t="s">
        <v>2210</v>
      </c>
      <c r="F148" s="34">
        <f>IFERROR(_xlfn.XLOOKUP(E148,Index!$A:$A,Index!$B:$B),"")</f>
        <v>281.5</v>
      </c>
    </row>
    <row r="149" spans="2:6" x14ac:dyDescent="0.25">
      <c r="B149" s="26"/>
      <c r="C149" s="36" t="s">
        <v>2125</v>
      </c>
      <c r="D149" s="98" t="s">
        <v>2126</v>
      </c>
      <c r="E149" s="38" t="s">
        <v>2211</v>
      </c>
      <c r="F149" s="34">
        <f>IFERROR(_xlfn.XLOOKUP(E149,Index!$A:$A,Index!$B:$B),"")</f>
        <v>369</v>
      </c>
    </row>
    <row r="150" spans="2:6" x14ac:dyDescent="0.25">
      <c r="B150" s="26"/>
      <c r="C150" s="36" t="s">
        <v>2128</v>
      </c>
      <c r="D150" s="98" t="s">
        <v>2129</v>
      </c>
      <c r="E150" s="38" t="s">
        <v>2211</v>
      </c>
      <c r="F150" s="34">
        <f>IFERROR(_xlfn.XLOOKUP(E150,Index!$A:$A,Index!$B:$B),"")</f>
        <v>369</v>
      </c>
    </row>
    <row r="151" spans="2:6" x14ac:dyDescent="0.25">
      <c r="B151" s="26"/>
      <c r="C151" s="36" t="s">
        <v>2131</v>
      </c>
      <c r="D151" s="98" t="s">
        <v>2132</v>
      </c>
      <c r="E151" s="38" t="s">
        <v>2211</v>
      </c>
      <c r="F151" s="34">
        <f>IFERROR(_xlfn.XLOOKUP(E151,Index!$A:$A,Index!$B:$B),"")</f>
        <v>369</v>
      </c>
    </row>
    <row r="152" spans="2:6" x14ac:dyDescent="0.25">
      <c r="B152" s="26"/>
      <c r="C152" s="36" t="s">
        <v>2134</v>
      </c>
      <c r="D152" s="98" t="s">
        <v>2135</v>
      </c>
      <c r="E152" s="38" t="s">
        <v>2211</v>
      </c>
      <c r="F152" s="34">
        <f>IFERROR(_xlfn.XLOOKUP(E152,Index!$A:$A,Index!$B:$B),"")</f>
        <v>369</v>
      </c>
    </row>
    <row r="153" spans="2:6" x14ac:dyDescent="0.25">
      <c r="B153" s="26"/>
      <c r="C153" s="36" t="s">
        <v>2137</v>
      </c>
      <c r="D153" s="98" t="s">
        <v>2138</v>
      </c>
      <c r="E153" s="38" t="s">
        <v>2212</v>
      </c>
      <c r="F153" s="34">
        <f>IFERROR(_xlfn.XLOOKUP(E153,Index!$A:$A,Index!$B:$B),"")</f>
        <v>654.5</v>
      </c>
    </row>
    <row r="154" spans="2:6" x14ac:dyDescent="0.25">
      <c r="B154" s="26"/>
      <c r="C154" s="36" t="s">
        <v>2141</v>
      </c>
      <c r="D154" s="98" t="s">
        <v>2142</v>
      </c>
      <c r="E154" s="38" t="s">
        <v>2212</v>
      </c>
      <c r="F154" s="34">
        <f>IFERROR(_xlfn.XLOOKUP(E154,Index!$A:$A,Index!$B:$B),"")</f>
        <v>654.5</v>
      </c>
    </row>
    <row r="155" spans="2:6" x14ac:dyDescent="0.25">
      <c r="B155" s="26"/>
      <c r="C155" s="36" t="s">
        <v>2144</v>
      </c>
      <c r="D155" s="98" t="s">
        <v>2145</v>
      </c>
      <c r="E155" s="38" t="s">
        <v>2213</v>
      </c>
      <c r="F155" s="34">
        <f>IFERROR(_xlfn.XLOOKUP(E155,Index!$A:$A,Index!$B:$B),"")</f>
        <v>1003</v>
      </c>
    </row>
    <row r="156" spans="2:6" x14ac:dyDescent="0.25">
      <c r="B156" s="26"/>
      <c r="C156" s="36" t="s">
        <v>2147</v>
      </c>
      <c r="D156" s="98" t="s">
        <v>2148</v>
      </c>
      <c r="E156" s="38" t="s">
        <v>2212</v>
      </c>
      <c r="F156" s="34">
        <f>IFERROR(_xlfn.XLOOKUP(E156,Index!$A:$A,Index!$B:$B),"")</f>
        <v>654.5</v>
      </c>
    </row>
    <row r="157" spans="2:6" x14ac:dyDescent="0.25">
      <c r="B157" s="26"/>
      <c r="C157" s="36" t="s">
        <v>2150</v>
      </c>
      <c r="D157" s="98" t="s">
        <v>2151</v>
      </c>
      <c r="E157" s="38" t="s">
        <v>2213</v>
      </c>
      <c r="F157" s="34">
        <f>IFERROR(_xlfn.XLOOKUP(E157,Index!$A:$A,Index!$B:$B),"")</f>
        <v>1003</v>
      </c>
    </row>
    <row r="158" spans="2:6" x14ac:dyDescent="0.25">
      <c r="B158" s="26"/>
      <c r="C158" s="36" t="s">
        <v>2153</v>
      </c>
      <c r="D158" s="98" t="s">
        <v>2154</v>
      </c>
      <c r="E158" s="38" t="s">
        <v>2214</v>
      </c>
      <c r="F158" s="34">
        <f>IFERROR(_xlfn.XLOOKUP(E158,Index!$A:$A,Index!$B:$B),"")</f>
        <v>2267</v>
      </c>
    </row>
    <row r="159" spans="2:6" x14ac:dyDescent="0.25">
      <c r="B159" s="26"/>
      <c r="C159" s="36" t="s">
        <v>2156</v>
      </c>
      <c r="D159" s="98" t="s">
        <v>2157</v>
      </c>
      <c r="E159" s="38" t="s">
        <v>2213</v>
      </c>
      <c r="F159" s="34">
        <f>IFERROR(_xlfn.XLOOKUP(E159,Index!$A:$A,Index!$B:$B),"")</f>
        <v>1003</v>
      </c>
    </row>
    <row r="160" spans="2:6" x14ac:dyDescent="0.25">
      <c r="B160" s="26"/>
      <c r="C160" s="36" t="s">
        <v>2159</v>
      </c>
      <c r="D160" s="98" t="s">
        <v>2160</v>
      </c>
      <c r="E160" s="38" t="s">
        <v>2214</v>
      </c>
      <c r="F160" s="34">
        <f>IFERROR(_xlfn.XLOOKUP(E160,Index!$A:$A,Index!$B:$B),"")</f>
        <v>2267</v>
      </c>
    </row>
    <row r="161" spans="1:6" x14ac:dyDescent="0.25">
      <c r="B161" s="26"/>
      <c r="C161" s="36" t="s">
        <v>2162</v>
      </c>
      <c r="D161" s="98" t="s">
        <v>2163</v>
      </c>
      <c r="E161" s="38" t="s">
        <v>2215</v>
      </c>
      <c r="F161" s="34">
        <f>IFERROR(_xlfn.XLOOKUP(E161,Index!$A:$A,Index!$B:$B),"")</f>
        <v>2267</v>
      </c>
    </row>
    <row r="162" spans="1:6" x14ac:dyDescent="0.25">
      <c r="B162" s="26"/>
      <c r="C162" s="36" t="s">
        <v>2165</v>
      </c>
      <c r="D162" s="98" t="s">
        <v>2166</v>
      </c>
      <c r="E162" s="38" t="s">
        <v>2213</v>
      </c>
      <c r="F162" s="34">
        <f>IFERROR(_xlfn.XLOOKUP(E162,Index!$A:$A,Index!$B:$B),"")</f>
        <v>1003</v>
      </c>
    </row>
    <row r="163" spans="1:6" x14ac:dyDescent="0.25">
      <c r="B163" s="26"/>
      <c r="C163" s="36" t="s">
        <v>2168</v>
      </c>
      <c r="D163" s="98" t="s">
        <v>2169</v>
      </c>
      <c r="E163" s="38" t="s">
        <v>2214</v>
      </c>
      <c r="F163" s="34">
        <f>IFERROR(_xlfn.XLOOKUP(E163,Index!$A:$A,Index!$B:$B),"")</f>
        <v>2267</v>
      </c>
    </row>
    <row r="164" spans="1:6" x14ac:dyDescent="0.25">
      <c r="B164" s="26"/>
      <c r="C164" s="36" t="s">
        <v>2171</v>
      </c>
      <c r="D164" s="98" t="s">
        <v>2172</v>
      </c>
      <c r="E164" s="38" t="s">
        <v>2215</v>
      </c>
      <c r="F164" s="34">
        <f>IFERROR(_xlfn.XLOOKUP(E164,Index!$A:$A,Index!$B:$B),"")</f>
        <v>2267</v>
      </c>
    </row>
    <row r="165" spans="1:6" x14ac:dyDescent="0.25">
      <c r="A165" s="126"/>
      <c r="B165" s="27"/>
      <c r="C165" s="36" t="s">
        <v>2174</v>
      </c>
      <c r="D165" s="98" t="s">
        <v>2175</v>
      </c>
      <c r="E165" s="38" t="s">
        <v>2215</v>
      </c>
      <c r="F165" s="34">
        <f>IFERROR(_xlfn.XLOOKUP(E165,Index!$A:$A,Index!$B:$B),"")</f>
        <v>2267</v>
      </c>
    </row>
  </sheetData>
  <mergeCells count="7">
    <mergeCell ref="E4:F4"/>
    <mergeCell ref="E39:F39"/>
    <mergeCell ref="C86:D86"/>
    <mergeCell ref="E65:F65"/>
    <mergeCell ref="G4:H4"/>
    <mergeCell ref="G39:H39"/>
    <mergeCell ref="G65:H65"/>
  </mergeCells>
  <conditionalFormatting sqref="G2:G3 F5:F34 F66:F82">
    <cfRule type="expression" dxfId="334" priority="16">
      <formula>F2="Not a valid item #"</formula>
    </cfRule>
    <cfRule type="expression" dxfId="333" priority="17">
      <formula>F2="Not in NPSLS"</formula>
    </cfRule>
    <cfRule type="expression" dxfId="332" priority="18">
      <formula>F2="Obsolete"</formula>
    </cfRule>
    <cfRule type="expression" dxfId="331" priority="19">
      <formula>F2=""</formula>
    </cfRule>
    <cfRule type="expression" dxfId="330" priority="20">
      <formula>F2="List Price"</formula>
    </cfRule>
  </conditionalFormatting>
  <conditionalFormatting sqref="G37:G38 F40:F60 D87:D165">
    <cfRule type="expression" dxfId="329" priority="6">
      <formula>D37="Not a valid item #"</formula>
    </cfRule>
    <cfRule type="expression" dxfId="328" priority="7">
      <formula>D37="Not in NPSLS"</formula>
    </cfRule>
    <cfRule type="expression" dxfId="327" priority="8">
      <formula>D37="Obsolete"</formula>
    </cfRule>
    <cfRule type="expression" dxfId="326" priority="9">
      <formula>D37=""</formula>
    </cfRule>
    <cfRule type="expression" dxfId="325" priority="10">
      <formula>D37="List Price"</formula>
    </cfRule>
  </conditionalFormatting>
  <conditionalFormatting sqref="G63:G64">
    <cfRule type="expression" dxfId="324" priority="1">
      <formula>G63="Not a valid item #"</formula>
    </cfRule>
    <cfRule type="expression" dxfId="323" priority="2">
      <formula>G63="Not in NPSLS"</formula>
    </cfRule>
    <cfRule type="expression" dxfId="322" priority="3">
      <formula>G63="Obsolete"</formula>
    </cfRule>
    <cfRule type="expression" dxfId="321" priority="4">
      <formula>G63=""</formula>
    </cfRule>
    <cfRule type="expression" dxfId="320" priority="5">
      <formula>G63="List Price"</formula>
    </cfRule>
  </conditionalFormatting>
  <hyperlinks>
    <hyperlink ref="A1" location="'Table of Contents'!A1" display="Return Home" xr:uid="{D07781C0-0514-4B47-8A4A-87F08E8130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C6D-4F6C-44C0-AAC0-25DBB7D46640}">
  <sheetPr codeName="Sheet14"/>
  <dimension ref="A1:N65"/>
  <sheetViews>
    <sheetView showGridLines="0" zoomScale="90" zoomScaleNormal="90" workbookViewId="0"/>
  </sheetViews>
  <sheetFormatPr defaultRowHeight="15" x14ac:dyDescent="0.25"/>
  <cols>
    <col min="1" max="1" width="14.28515625" customWidth="1"/>
    <col min="2" max="2" width="15" customWidth="1"/>
    <col min="3" max="3" width="9.28515625" bestFit="1" customWidth="1"/>
    <col min="8" max="8" width="11" bestFit="1" customWidth="1"/>
    <col min="9" max="9" width="12.85546875" customWidth="1"/>
    <col min="10" max="10" width="11.28515625" bestFit="1" customWidth="1"/>
    <col min="11" max="11" width="12.140625" bestFit="1" customWidth="1"/>
  </cols>
  <sheetData>
    <row r="1" spans="1:14" x14ac:dyDescent="0.25">
      <c r="A1" s="255" t="s">
        <v>5540</v>
      </c>
    </row>
    <row r="2" spans="1:14" s="1" customFormat="1" ht="15.75" x14ac:dyDescent="0.25">
      <c r="A2" s="62" t="s">
        <v>2236</v>
      </c>
      <c r="B2" s="62" t="s">
        <v>468</v>
      </c>
      <c r="C2" s="14"/>
      <c r="D2" s="3"/>
      <c r="E2" s="8"/>
      <c r="F2" s="110"/>
      <c r="G2" s="111"/>
      <c r="H2" s="19"/>
      <c r="I2"/>
      <c r="J2"/>
      <c r="K2"/>
      <c r="L2"/>
      <c r="M2"/>
      <c r="N2"/>
    </row>
    <row r="3" spans="1:14" s="1" customFormat="1" ht="15.75" x14ac:dyDescent="0.25">
      <c r="A3" s="48" t="s">
        <v>2237</v>
      </c>
      <c r="B3" s="11"/>
      <c r="C3" s="4"/>
      <c r="D3" s="4"/>
      <c r="E3" s="5"/>
      <c r="F3" s="110"/>
      <c r="G3" s="4"/>
      <c r="H3" s="19"/>
      <c r="I3"/>
      <c r="J3"/>
      <c r="K3"/>
      <c r="L3"/>
      <c r="M3"/>
      <c r="N3"/>
    </row>
    <row r="4" spans="1:14" s="1" customFormat="1" ht="24" x14ac:dyDescent="0.25">
      <c r="A4" s="25" t="s">
        <v>35</v>
      </c>
      <c r="B4" s="28" t="s">
        <v>36</v>
      </c>
      <c r="C4" s="22" t="s">
        <v>38</v>
      </c>
      <c r="D4" s="22"/>
      <c r="E4" s="23" t="s">
        <v>39</v>
      </c>
      <c r="F4" s="23"/>
      <c r="G4" s="42" t="s">
        <v>40</v>
      </c>
      <c r="H4" s="24" t="s">
        <v>41</v>
      </c>
      <c r="I4"/>
      <c r="J4"/>
      <c r="K4"/>
      <c r="L4"/>
      <c r="M4"/>
      <c r="N4"/>
    </row>
    <row r="5" spans="1:14" s="1" customFormat="1" x14ac:dyDescent="0.2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  <c r="L5"/>
      <c r="M5"/>
      <c r="N5"/>
    </row>
    <row r="6" spans="1:14" s="1" customFormat="1" x14ac:dyDescent="0.25">
      <c r="A6" s="26">
        <v>721</v>
      </c>
      <c r="B6" s="66" t="s">
        <v>216</v>
      </c>
      <c r="C6" s="122">
        <v>2</v>
      </c>
      <c r="D6" s="122">
        <v>50</v>
      </c>
      <c r="E6" s="85">
        <v>23</v>
      </c>
      <c r="F6" s="40">
        <v>10.4</v>
      </c>
      <c r="G6" s="38" t="s">
        <v>2238</v>
      </c>
      <c r="H6" s="34">
        <f>IFERROR(_xlfn.XLOOKUP(G6,Index!$A:$A,Index!$B:$B),"")</f>
        <v>1213</v>
      </c>
      <c r="I6"/>
      <c r="J6"/>
      <c r="K6"/>
      <c r="L6"/>
      <c r="M6"/>
      <c r="N6"/>
    </row>
    <row r="7" spans="1:14" x14ac:dyDescent="0.25">
      <c r="B7" s="66"/>
      <c r="C7" s="122" t="s">
        <v>231</v>
      </c>
      <c r="D7" s="122">
        <v>65</v>
      </c>
      <c r="E7" s="85">
        <v>40</v>
      </c>
      <c r="F7" s="40">
        <v>18</v>
      </c>
      <c r="G7" s="38" t="s">
        <v>2239</v>
      </c>
      <c r="H7" s="34">
        <f>IFERROR(_xlfn.XLOOKUP(G7,Index!$A:$A,Index!$B:$B),"")</f>
        <v>1382</v>
      </c>
    </row>
    <row r="8" spans="1:14" x14ac:dyDescent="0.25">
      <c r="B8" s="66"/>
      <c r="C8" s="122">
        <v>3</v>
      </c>
      <c r="D8" s="122">
        <v>80</v>
      </c>
      <c r="E8" s="85">
        <v>50</v>
      </c>
      <c r="F8" s="40">
        <v>23</v>
      </c>
      <c r="G8" s="38" t="s">
        <v>2240</v>
      </c>
      <c r="H8" s="34">
        <f>IFERROR(_xlfn.XLOOKUP(G8,Index!$A:$A,Index!$B:$B),"")</f>
        <v>1479</v>
      </c>
    </row>
    <row r="9" spans="1:14" x14ac:dyDescent="0.25">
      <c r="B9" s="66"/>
      <c r="C9" s="122">
        <v>4</v>
      </c>
      <c r="D9" s="122">
        <v>100</v>
      </c>
      <c r="E9" s="85">
        <v>100</v>
      </c>
      <c r="F9" s="40">
        <v>45</v>
      </c>
      <c r="G9" s="38" t="s">
        <v>2241</v>
      </c>
      <c r="H9" s="34">
        <f>IFERROR(_xlfn.XLOOKUP(G9,Index!$A:$A,Index!$B:$B),"")</f>
        <v>2991</v>
      </c>
    </row>
    <row r="10" spans="1:14" x14ac:dyDescent="0.25">
      <c r="B10" s="66"/>
      <c r="C10" s="122">
        <v>5</v>
      </c>
      <c r="D10" s="122">
        <v>125</v>
      </c>
      <c r="E10" s="85">
        <v>155</v>
      </c>
      <c r="F10" s="40">
        <v>70</v>
      </c>
      <c r="G10" s="38" t="s">
        <v>2242</v>
      </c>
      <c r="H10" s="34">
        <f>IFERROR(_xlfn.XLOOKUP(G10,Index!$A:$A,Index!$B:$B),"")</f>
        <v>3509</v>
      </c>
    </row>
    <row r="11" spans="1:14" x14ac:dyDescent="0.25">
      <c r="B11" s="66"/>
      <c r="C11" s="122">
        <v>6</v>
      </c>
      <c r="D11" s="122">
        <v>150</v>
      </c>
      <c r="E11" s="85">
        <v>200</v>
      </c>
      <c r="F11" s="40">
        <v>91</v>
      </c>
      <c r="G11" s="38" t="s">
        <v>2243</v>
      </c>
      <c r="H11" s="34">
        <f>IFERROR(_xlfn.XLOOKUP(G11,Index!$A:$A,Index!$B:$B),"")</f>
        <v>4813</v>
      </c>
    </row>
    <row r="12" spans="1:14" x14ac:dyDescent="0.25">
      <c r="B12" s="66"/>
      <c r="C12" s="122">
        <v>8</v>
      </c>
      <c r="D12" s="122">
        <v>200</v>
      </c>
      <c r="E12" s="85">
        <v>350</v>
      </c>
      <c r="F12" s="40">
        <v>159</v>
      </c>
      <c r="G12" s="38" t="s">
        <v>2244</v>
      </c>
      <c r="H12" s="34">
        <f>IFERROR(_xlfn.XLOOKUP(G12,Index!$A:$A,Index!$B:$B),"")</f>
        <v>6526</v>
      </c>
    </row>
    <row r="13" spans="1:14" x14ac:dyDescent="0.25">
      <c r="B13" s="66"/>
      <c r="C13" s="122">
        <v>10</v>
      </c>
      <c r="D13" s="122">
        <v>250</v>
      </c>
      <c r="E13" s="85">
        <v>480</v>
      </c>
      <c r="F13" s="40">
        <v>218</v>
      </c>
      <c r="G13" s="38" t="s">
        <v>2245</v>
      </c>
      <c r="H13" s="34">
        <f>IFERROR(_xlfn.XLOOKUP(G13,Index!$A:$A,Index!$B:$B),"")</f>
        <v>10757</v>
      </c>
    </row>
    <row r="14" spans="1:14" x14ac:dyDescent="0.25">
      <c r="B14" s="66"/>
      <c r="C14" s="122">
        <v>12</v>
      </c>
      <c r="D14" s="122">
        <v>300</v>
      </c>
      <c r="E14" s="85">
        <v>660</v>
      </c>
      <c r="F14" s="40">
        <v>299</v>
      </c>
      <c r="G14" s="38" t="s">
        <v>2246</v>
      </c>
      <c r="H14" s="34">
        <f>IFERROR(_xlfn.XLOOKUP(G14,Index!$A:$A,Index!$B:$B),"")</f>
        <v>16587</v>
      </c>
    </row>
    <row r="15" spans="1:14" x14ac:dyDescent="0.25">
      <c r="B15" s="66"/>
      <c r="C15" s="122">
        <v>14</v>
      </c>
      <c r="D15" s="122">
        <v>350</v>
      </c>
      <c r="E15" s="85">
        <v>790</v>
      </c>
      <c r="F15" s="40">
        <v>358</v>
      </c>
      <c r="G15" s="38" t="s">
        <v>2247</v>
      </c>
      <c r="H15" s="34">
        <f>IFERROR(_xlfn.XLOOKUP(G15,Index!$A:$A,Index!$B:$B),"")</f>
        <v>19566</v>
      </c>
    </row>
    <row r="16" spans="1:14" x14ac:dyDescent="0.25">
      <c r="B16" s="66"/>
      <c r="C16" s="122">
        <v>16</v>
      </c>
      <c r="D16" s="122">
        <v>400</v>
      </c>
      <c r="E16" s="85">
        <v>1580</v>
      </c>
      <c r="F16" s="40">
        <v>717</v>
      </c>
      <c r="G16" s="38" t="s">
        <v>2248</v>
      </c>
      <c r="H16" s="34">
        <f>IFERROR(_xlfn.XLOOKUP(G16,Index!$A:$A,Index!$B:$B),"")</f>
        <v>43502</v>
      </c>
    </row>
    <row r="17" spans="1:8" x14ac:dyDescent="0.25">
      <c r="B17" s="66"/>
      <c r="C17" s="122">
        <v>18</v>
      </c>
      <c r="D17" s="122">
        <v>450</v>
      </c>
      <c r="E17" s="85">
        <v>1860</v>
      </c>
      <c r="F17" s="40">
        <v>844</v>
      </c>
      <c r="G17" s="38" t="s">
        <v>2249</v>
      </c>
      <c r="H17" s="34">
        <f>IFERROR(_xlfn.XLOOKUP(G17,Index!$A:$A,Index!$B:$B),"")</f>
        <v>50494</v>
      </c>
    </row>
    <row r="18" spans="1:8" x14ac:dyDescent="0.25">
      <c r="B18" s="66"/>
      <c r="C18" s="122">
        <v>20</v>
      </c>
      <c r="D18" s="122">
        <v>500</v>
      </c>
      <c r="E18" s="85">
        <v>2200</v>
      </c>
      <c r="F18" s="40">
        <v>997</v>
      </c>
      <c r="G18" s="38" t="s">
        <v>2250</v>
      </c>
      <c r="H18" s="34">
        <f>IFERROR(_xlfn.XLOOKUP(G18,Index!$A:$A,Index!$B:$B),"")</f>
        <v>53083</v>
      </c>
    </row>
    <row r="19" spans="1:8" x14ac:dyDescent="0.25">
      <c r="A19" s="100"/>
      <c r="B19" s="27"/>
      <c r="C19" s="123">
        <v>24</v>
      </c>
      <c r="D19" s="122">
        <v>600</v>
      </c>
      <c r="E19" s="85">
        <v>4480</v>
      </c>
      <c r="F19" s="40">
        <v>2032</v>
      </c>
      <c r="G19" s="38" t="s">
        <v>5542</v>
      </c>
      <c r="H19" s="34">
        <f>H18+21239</f>
        <v>74322</v>
      </c>
    </row>
    <row r="21" spans="1:8" ht="31.5" x14ac:dyDescent="0.25">
      <c r="A21" s="62" t="s">
        <v>2251</v>
      </c>
      <c r="B21" s="62" t="s">
        <v>468</v>
      </c>
      <c r="C21" s="14"/>
      <c r="D21" s="3"/>
      <c r="E21" s="8"/>
      <c r="F21" s="110"/>
      <c r="G21" s="111"/>
      <c r="H21" s="19"/>
    </row>
    <row r="22" spans="1:8" ht="15.75" x14ac:dyDescent="0.25">
      <c r="A22" s="48" t="s">
        <v>2252</v>
      </c>
      <c r="B22" s="11"/>
      <c r="C22" s="4"/>
      <c r="D22" s="4"/>
      <c r="E22" s="5"/>
      <c r="F22" s="110"/>
      <c r="G22" s="4"/>
      <c r="H22" s="19"/>
    </row>
    <row r="23" spans="1:8" ht="24" x14ac:dyDescent="0.25">
      <c r="A23" s="25" t="s">
        <v>35</v>
      </c>
      <c r="B23" s="28" t="s">
        <v>36</v>
      </c>
      <c r="C23" s="22" t="s">
        <v>38</v>
      </c>
      <c r="D23" s="22"/>
      <c r="E23" s="23" t="s">
        <v>39</v>
      </c>
      <c r="F23" s="23"/>
      <c r="G23" s="42" t="s">
        <v>40</v>
      </c>
      <c r="H23" s="24" t="s">
        <v>41</v>
      </c>
    </row>
    <row r="24" spans="1:8" x14ac:dyDescent="0.25">
      <c r="A24" s="32"/>
      <c r="B24" s="32"/>
      <c r="C24" s="33" t="s">
        <v>44</v>
      </c>
      <c r="D24" s="33" t="s">
        <v>45</v>
      </c>
      <c r="E24" s="33" t="s">
        <v>46</v>
      </c>
      <c r="F24" s="39" t="s">
        <v>47</v>
      </c>
      <c r="G24" s="33"/>
      <c r="H24" s="41"/>
    </row>
    <row r="25" spans="1:8" x14ac:dyDescent="0.25">
      <c r="A25" s="26" t="s">
        <v>2253</v>
      </c>
      <c r="B25" s="26" t="s">
        <v>216</v>
      </c>
      <c r="C25" s="122">
        <v>2</v>
      </c>
      <c r="D25" s="122">
        <v>50</v>
      </c>
      <c r="E25" s="35">
        <v>23</v>
      </c>
      <c r="F25" s="40">
        <v>10.4</v>
      </c>
      <c r="G25" s="38" t="s">
        <v>2254</v>
      </c>
      <c r="H25" s="34">
        <f>IFERROR(_xlfn.XLOOKUP(G25,Index!$A:$A,Index!$B:$B),"")</f>
        <v>942</v>
      </c>
    </row>
    <row r="26" spans="1:8" x14ac:dyDescent="0.25">
      <c r="B26" s="26"/>
      <c r="C26" s="122" t="s">
        <v>231</v>
      </c>
      <c r="D26" s="122">
        <v>65</v>
      </c>
      <c r="E26" s="35">
        <v>40</v>
      </c>
      <c r="F26" s="40">
        <v>18</v>
      </c>
      <c r="G26" s="38" t="s">
        <v>2255</v>
      </c>
      <c r="H26" s="34">
        <f>IFERROR(_xlfn.XLOOKUP(G26,Index!$A:$A,Index!$B:$B),"")</f>
        <v>1073</v>
      </c>
    </row>
    <row r="27" spans="1:8" x14ac:dyDescent="0.25">
      <c r="B27" s="26"/>
      <c r="C27" s="122">
        <v>3</v>
      </c>
      <c r="D27" s="122">
        <v>80</v>
      </c>
      <c r="E27" s="35">
        <v>50</v>
      </c>
      <c r="F27" s="40">
        <v>23</v>
      </c>
      <c r="G27" s="38" t="s">
        <v>2256</v>
      </c>
      <c r="H27" s="34">
        <f>IFERROR(_xlfn.XLOOKUP(G27,Index!$A:$A,Index!$B:$B),"")</f>
        <v>1147</v>
      </c>
    </row>
    <row r="28" spans="1:8" x14ac:dyDescent="0.25">
      <c r="B28" s="26"/>
      <c r="C28" s="122">
        <v>4</v>
      </c>
      <c r="D28" s="122">
        <v>100</v>
      </c>
      <c r="E28" s="35">
        <v>100</v>
      </c>
      <c r="F28" s="40">
        <v>45</v>
      </c>
      <c r="G28" s="38" t="s">
        <v>2257</v>
      </c>
      <c r="H28" s="34">
        <f>IFERROR(_xlfn.XLOOKUP(G28,Index!$A:$A,Index!$B:$B),"")</f>
        <v>2325</v>
      </c>
    </row>
    <row r="29" spans="1:8" x14ac:dyDescent="0.25">
      <c r="B29" s="26"/>
      <c r="C29" s="122">
        <v>5</v>
      </c>
      <c r="D29" s="122">
        <v>125</v>
      </c>
      <c r="E29" s="35">
        <v>155</v>
      </c>
      <c r="F29" s="40">
        <v>70</v>
      </c>
      <c r="G29" s="38" t="s">
        <v>2258</v>
      </c>
      <c r="H29" s="34">
        <f>IFERROR(_xlfn.XLOOKUP(G29,Index!$A:$A,Index!$B:$B),"")</f>
        <v>2727</v>
      </c>
    </row>
    <row r="30" spans="1:8" x14ac:dyDescent="0.25">
      <c r="B30" s="26"/>
      <c r="C30" s="122">
        <v>6</v>
      </c>
      <c r="D30" s="122">
        <v>150</v>
      </c>
      <c r="E30" s="35">
        <v>200</v>
      </c>
      <c r="F30" s="40">
        <v>91</v>
      </c>
      <c r="G30" s="38" t="s">
        <v>2259</v>
      </c>
      <c r="H30" s="34">
        <f>IFERROR(_xlfn.XLOOKUP(G30,Index!$A:$A,Index!$B:$B),"")</f>
        <v>3740</v>
      </c>
    </row>
    <row r="31" spans="1:8" x14ac:dyDescent="0.25">
      <c r="B31" s="26"/>
      <c r="C31" s="122">
        <v>8</v>
      </c>
      <c r="D31" s="122">
        <v>200</v>
      </c>
      <c r="E31" s="35">
        <v>350</v>
      </c>
      <c r="F31" s="40">
        <v>159</v>
      </c>
      <c r="G31" s="38" t="s">
        <v>2260</v>
      </c>
      <c r="H31" s="34">
        <f>IFERROR(_xlfn.XLOOKUP(G31,Index!$A:$A,Index!$B:$B),"")</f>
        <v>5072</v>
      </c>
    </row>
    <row r="32" spans="1:8" x14ac:dyDescent="0.25">
      <c r="B32" s="26"/>
      <c r="C32" s="122">
        <v>10</v>
      </c>
      <c r="D32" s="122">
        <v>250</v>
      </c>
      <c r="E32" s="35">
        <v>480</v>
      </c>
      <c r="F32" s="40">
        <v>218</v>
      </c>
      <c r="G32" s="38" t="s">
        <v>2261</v>
      </c>
      <c r="H32" s="34">
        <f>IFERROR(_xlfn.XLOOKUP(G32,Index!$A:$A,Index!$B:$B),"")</f>
        <v>7840</v>
      </c>
    </row>
    <row r="33" spans="1:8" x14ac:dyDescent="0.25">
      <c r="B33" s="26"/>
      <c r="C33" s="122">
        <v>12</v>
      </c>
      <c r="D33" s="122">
        <v>300</v>
      </c>
      <c r="E33" s="35">
        <v>660</v>
      </c>
      <c r="F33" s="40">
        <v>299</v>
      </c>
      <c r="G33" s="38" t="s">
        <v>2262</v>
      </c>
      <c r="H33" s="34">
        <f>IFERROR(_xlfn.XLOOKUP(G33,Index!$A:$A,Index!$B:$B),"")</f>
        <v>12890</v>
      </c>
    </row>
    <row r="34" spans="1:8" x14ac:dyDescent="0.25">
      <c r="A34" s="100"/>
      <c r="B34" s="27"/>
      <c r="C34" s="122">
        <v>14</v>
      </c>
      <c r="D34" s="122">
        <v>350</v>
      </c>
      <c r="E34" s="35">
        <v>790</v>
      </c>
      <c r="F34" s="40">
        <v>358</v>
      </c>
      <c r="G34" s="38" t="s">
        <v>2263</v>
      </c>
      <c r="H34" s="34">
        <f>IFERROR(_xlfn.XLOOKUP(G34,Index!$A:$A,Index!$B:$B),"")</f>
        <v>15206</v>
      </c>
    </row>
    <row r="36" spans="1:8" ht="15.75" x14ac:dyDescent="0.25">
      <c r="A36" s="62" t="s">
        <v>2264</v>
      </c>
      <c r="B36" s="62" t="s">
        <v>174</v>
      </c>
      <c r="C36" s="14"/>
      <c r="D36" s="3"/>
      <c r="E36" s="8"/>
      <c r="F36" s="110"/>
      <c r="G36" s="111"/>
      <c r="H36" s="19"/>
    </row>
    <row r="37" spans="1:8" ht="15.75" x14ac:dyDescent="0.25">
      <c r="A37" s="48" t="s">
        <v>2178</v>
      </c>
      <c r="B37" s="11"/>
      <c r="C37" s="4"/>
      <c r="D37" s="4"/>
      <c r="E37" s="5"/>
      <c r="F37" s="110"/>
      <c r="G37" s="4"/>
      <c r="H37" s="19"/>
    </row>
    <row r="38" spans="1:8" ht="24" x14ac:dyDescent="0.25">
      <c r="A38" s="25" t="s">
        <v>35</v>
      </c>
      <c r="B38" s="28" t="s">
        <v>36</v>
      </c>
      <c r="C38" s="22" t="s">
        <v>38</v>
      </c>
      <c r="D38" s="22"/>
      <c r="E38" s="23" t="s">
        <v>39</v>
      </c>
      <c r="F38" s="23"/>
      <c r="G38" s="42" t="s">
        <v>40</v>
      </c>
      <c r="H38" s="24" t="s">
        <v>41</v>
      </c>
    </row>
    <row r="39" spans="1:8" x14ac:dyDescent="0.25">
      <c r="A39" s="32"/>
      <c r="B39" s="32"/>
      <c r="C39" s="33" t="s">
        <v>44</v>
      </c>
      <c r="D39" s="33" t="s">
        <v>45</v>
      </c>
      <c r="E39" s="33" t="s">
        <v>46</v>
      </c>
      <c r="F39" s="39" t="s">
        <v>47</v>
      </c>
      <c r="G39" s="33"/>
      <c r="H39" s="41"/>
    </row>
    <row r="40" spans="1:8" x14ac:dyDescent="0.25">
      <c r="A40" s="26">
        <v>722</v>
      </c>
      <c r="B40" s="26" t="s">
        <v>937</v>
      </c>
      <c r="C40" s="122">
        <v>2</v>
      </c>
      <c r="D40" s="122">
        <v>50</v>
      </c>
      <c r="E40" s="35">
        <v>23</v>
      </c>
      <c r="F40" s="40">
        <v>10.4</v>
      </c>
      <c r="G40" s="38" t="s">
        <v>2265</v>
      </c>
      <c r="H40" s="34">
        <f>IFERROR(_xlfn.XLOOKUP(G40,Index!$A:$A,Index!$B:$B),"")</f>
        <v>2069</v>
      </c>
    </row>
    <row r="41" spans="1:8" x14ac:dyDescent="0.25">
      <c r="B41" s="26"/>
      <c r="C41" s="122" t="s">
        <v>231</v>
      </c>
      <c r="D41" s="122">
        <v>65</v>
      </c>
      <c r="E41" s="35">
        <v>24</v>
      </c>
      <c r="F41" s="40">
        <v>11</v>
      </c>
      <c r="G41" s="38" t="s">
        <v>2266</v>
      </c>
      <c r="H41" s="34">
        <f>IFERROR(_xlfn.XLOOKUP(G41,Index!$A:$A,Index!$B:$B),"")</f>
        <v>2513</v>
      </c>
    </row>
    <row r="42" spans="1:8" x14ac:dyDescent="0.25">
      <c r="B42" s="26"/>
      <c r="C42" s="122">
        <v>3</v>
      </c>
      <c r="D42" s="122">
        <v>80</v>
      </c>
      <c r="E42" s="35">
        <v>33</v>
      </c>
      <c r="F42" s="40">
        <v>15</v>
      </c>
      <c r="G42" s="38" t="s">
        <v>2267</v>
      </c>
      <c r="H42" s="34">
        <f>IFERROR(_xlfn.XLOOKUP(G42,Index!$A:$A,Index!$B:$B),"")</f>
        <v>2776</v>
      </c>
    </row>
    <row r="43" spans="1:8" x14ac:dyDescent="0.25">
      <c r="B43" s="26"/>
      <c r="C43" s="122">
        <v>4</v>
      </c>
      <c r="D43" s="122">
        <v>100</v>
      </c>
      <c r="E43" s="35">
        <v>84</v>
      </c>
      <c r="F43" s="40">
        <v>38</v>
      </c>
      <c r="G43" s="38" t="s">
        <v>2268</v>
      </c>
      <c r="H43" s="34">
        <f>IFERROR(_xlfn.XLOOKUP(G43,Index!$A:$A,Index!$B:$B),"")</f>
        <v>5186</v>
      </c>
    </row>
    <row r="44" spans="1:8" x14ac:dyDescent="0.25">
      <c r="B44" s="26"/>
      <c r="C44" s="122">
        <v>5</v>
      </c>
      <c r="D44" s="122">
        <v>125</v>
      </c>
      <c r="E44" s="35">
        <v>124</v>
      </c>
      <c r="F44" s="40">
        <v>56</v>
      </c>
      <c r="G44" s="38" t="s">
        <v>2269</v>
      </c>
      <c r="H44" s="34">
        <f>IFERROR(_xlfn.XLOOKUP(G44,Index!$A:$A,Index!$B:$B),"")</f>
        <v>5995</v>
      </c>
    </row>
    <row r="45" spans="1:8" x14ac:dyDescent="0.25">
      <c r="B45" s="26"/>
      <c r="C45" s="122">
        <v>6</v>
      </c>
      <c r="D45" s="122">
        <v>150</v>
      </c>
      <c r="E45" s="35">
        <v>156</v>
      </c>
      <c r="F45" s="40">
        <v>71</v>
      </c>
      <c r="G45" s="38" t="s">
        <v>2270</v>
      </c>
      <c r="H45" s="34">
        <f>IFERROR(_xlfn.XLOOKUP(G45,Index!$A:$A,Index!$B:$B),"")</f>
        <v>7775</v>
      </c>
    </row>
    <row r="46" spans="1:8" x14ac:dyDescent="0.25">
      <c r="B46" s="26"/>
      <c r="C46" s="122">
        <v>8</v>
      </c>
      <c r="D46" s="122">
        <v>200</v>
      </c>
      <c r="E46" s="35">
        <v>300</v>
      </c>
      <c r="F46" s="40">
        <v>136</v>
      </c>
      <c r="G46" s="38" t="s">
        <v>2271</v>
      </c>
      <c r="H46" s="34">
        <f>IFERROR(_xlfn.XLOOKUP(G46,Index!$A:$A,Index!$B:$B),"")</f>
        <v>10202</v>
      </c>
    </row>
    <row r="47" spans="1:8" x14ac:dyDescent="0.25">
      <c r="B47" s="26"/>
      <c r="C47" s="122">
        <v>10</v>
      </c>
      <c r="D47" s="122">
        <v>250</v>
      </c>
      <c r="E47" s="35">
        <v>392</v>
      </c>
      <c r="F47" s="40">
        <v>178</v>
      </c>
      <c r="G47" s="38" t="s">
        <v>2272</v>
      </c>
      <c r="H47" s="34">
        <f>IFERROR(_xlfn.XLOOKUP(G47,Index!$A:$A,Index!$B:$B),"")</f>
        <v>16756</v>
      </c>
    </row>
    <row r="48" spans="1:8" x14ac:dyDescent="0.25">
      <c r="B48" s="26"/>
      <c r="C48" s="123">
        <v>12</v>
      </c>
      <c r="D48" s="122">
        <v>300</v>
      </c>
      <c r="E48" s="35">
        <v>496</v>
      </c>
      <c r="F48" s="40">
        <v>225</v>
      </c>
      <c r="G48" s="38" t="s">
        <v>2273</v>
      </c>
      <c r="H48" s="34">
        <f>IFERROR(_xlfn.XLOOKUP(G48,Index!$A:$A,Index!$B:$B),"")</f>
        <v>25898</v>
      </c>
    </row>
    <row r="49" spans="1:8" x14ac:dyDescent="0.25">
      <c r="B49" s="124"/>
      <c r="C49" s="123">
        <v>14</v>
      </c>
      <c r="D49" s="122">
        <v>350</v>
      </c>
      <c r="E49" s="35">
        <v>790</v>
      </c>
      <c r="F49" s="40">
        <v>358</v>
      </c>
      <c r="G49" s="38" t="s">
        <v>2274</v>
      </c>
      <c r="H49" s="34">
        <f>IFERROR(_xlfn.XLOOKUP(G49,Index!$A:$A,Index!$B:$B),"")</f>
        <v>31076</v>
      </c>
    </row>
    <row r="50" spans="1:8" x14ac:dyDescent="0.25">
      <c r="A50" s="100"/>
      <c r="B50" s="120"/>
      <c r="C50" s="123">
        <v>16</v>
      </c>
      <c r="D50" s="122">
        <v>400</v>
      </c>
      <c r="E50" s="35">
        <v>1580</v>
      </c>
      <c r="F50" s="40">
        <v>717</v>
      </c>
      <c r="G50" s="38" t="s">
        <v>3039</v>
      </c>
      <c r="H50" s="34">
        <f>IFERROR(_xlfn.XLOOKUP(G50,Index!$A:$A,Index!$B:$B),"")</f>
        <v>56410</v>
      </c>
    </row>
    <row r="52" spans="1:8" ht="15.75" x14ac:dyDescent="0.25">
      <c r="A52" s="62" t="s">
        <v>2275</v>
      </c>
      <c r="B52" s="62" t="s">
        <v>174</v>
      </c>
      <c r="C52" s="14"/>
      <c r="D52" s="3"/>
      <c r="E52" s="8"/>
      <c r="F52" s="110"/>
      <c r="G52" s="111"/>
      <c r="H52" s="19"/>
    </row>
    <row r="53" spans="1:8" ht="15.75" x14ac:dyDescent="0.25">
      <c r="A53" s="48" t="s">
        <v>2276</v>
      </c>
      <c r="B53" s="11"/>
      <c r="C53" s="4"/>
      <c r="D53" s="4"/>
      <c r="E53" s="5"/>
      <c r="F53" s="110"/>
      <c r="G53" s="4"/>
      <c r="H53" s="19"/>
    </row>
    <row r="54" spans="1:8" ht="24" x14ac:dyDescent="0.25">
      <c r="A54" s="25" t="s">
        <v>35</v>
      </c>
      <c r="B54" s="28" t="s">
        <v>36</v>
      </c>
      <c r="C54" s="22" t="s">
        <v>38</v>
      </c>
      <c r="D54" s="22"/>
      <c r="E54" s="23" t="s">
        <v>39</v>
      </c>
      <c r="F54" s="23"/>
      <c r="G54" s="42" t="s">
        <v>40</v>
      </c>
      <c r="H54" s="24" t="s">
        <v>41</v>
      </c>
    </row>
    <row r="55" spans="1:8" x14ac:dyDescent="0.25">
      <c r="A55" s="32"/>
      <c r="B55" s="32"/>
      <c r="C55" s="33" t="s">
        <v>44</v>
      </c>
      <c r="D55" s="33" t="s">
        <v>45</v>
      </c>
      <c r="E55" s="33" t="s">
        <v>46</v>
      </c>
      <c r="F55" s="39" t="s">
        <v>47</v>
      </c>
      <c r="G55" s="33"/>
      <c r="H55" s="41"/>
    </row>
    <row r="56" spans="1:8" x14ac:dyDescent="0.25">
      <c r="A56" s="26" t="s">
        <v>2277</v>
      </c>
      <c r="B56" s="26" t="s">
        <v>2278</v>
      </c>
      <c r="C56" s="122">
        <v>2</v>
      </c>
      <c r="D56" s="122">
        <v>50</v>
      </c>
      <c r="E56" s="35">
        <v>34</v>
      </c>
      <c r="F56" s="40">
        <v>15.4</v>
      </c>
      <c r="G56" s="38" t="s">
        <v>2279</v>
      </c>
      <c r="H56" s="34">
        <f>IFERROR(_xlfn.XLOOKUP(G56,Index!$A:$A,Index!$B:$B),"")</f>
        <v>2069</v>
      </c>
    </row>
    <row r="57" spans="1:8" x14ac:dyDescent="0.25">
      <c r="B57" s="26"/>
      <c r="C57" s="122" t="s">
        <v>231</v>
      </c>
      <c r="D57" s="122">
        <v>65</v>
      </c>
      <c r="E57" s="35">
        <v>40</v>
      </c>
      <c r="F57" s="40">
        <v>18</v>
      </c>
      <c r="G57" s="38" t="s">
        <v>2280</v>
      </c>
      <c r="H57" s="34">
        <f>IFERROR(_xlfn.XLOOKUP(G57,Index!$A:$A,Index!$B:$B),"")</f>
        <v>2513</v>
      </c>
    </row>
    <row r="58" spans="1:8" x14ac:dyDescent="0.25">
      <c r="B58" s="26"/>
      <c r="C58" s="122">
        <v>3</v>
      </c>
      <c r="D58" s="122">
        <v>80</v>
      </c>
      <c r="E58" s="35">
        <v>50</v>
      </c>
      <c r="F58" s="40">
        <v>23</v>
      </c>
      <c r="G58" s="38" t="s">
        <v>2281</v>
      </c>
      <c r="H58" s="34">
        <f>IFERROR(_xlfn.XLOOKUP(G58,Index!$A:$A,Index!$B:$B),"")</f>
        <v>2776</v>
      </c>
    </row>
    <row r="59" spans="1:8" x14ac:dyDescent="0.25">
      <c r="B59" s="26"/>
      <c r="C59" s="122">
        <v>4</v>
      </c>
      <c r="D59" s="122">
        <v>100</v>
      </c>
      <c r="E59" s="35">
        <v>100</v>
      </c>
      <c r="F59" s="40">
        <v>45</v>
      </c>
      <c r="G59" s="38" t="s">
        <v>2282</v>
      </c>
      <c r="H59" s="34">
        <f>IFERROR(_xlfn.XLOOKUP(G59,Index!$A:$A,Index!$B:$B),"")</f>
        <v>5186</v>
      </c>
    </row>
    <row r="60" spans="1:8" x14ac:dyDescent="0.25">
      <c r="B60" s="26"/>
      <c r="C60" s="122">
        <v>5</v>
      </c>
      <c r="D60" s="122">
        <v>125</v>
      </c>
      <c r="E60" s="35">
        <v>155</v>
      </c>
      <c r="F60" s="40">
        <v>70</v>
      </c>
      <c r="G60" s="38" t="s">
        <v>2283</v>
      </c>
      <c r="H60" s="34">
        <f>IFERROR(_xlfn.XLOOKUP(G60,Index!$A:$A,Index!$B:$B),"")</f>
        <v>5995</v>
      </c>
    </row>
    <row r="61" spans="1:8" x14ac:dyDescent="0.25">
      <c r="B61" s="26"/>
      <c r="C61" s="122">
        <v>6</v>
      </c>
      <c r="D61" s="122">
        <v>150</v>
      </c>
      <c r="E61" s="35">
        <v>200</v>
      </c>
      <c r="F61" s="40">
        <v>91</v>
      </c>
      <c r="G61" s="38" t="s">
        <v>2284</v>
      </c>
      <c r="H61" s="34">
        <f>IFERROR(_xlfn.XLOOKUP(G61,Index!$A:$A,Index!$B:$B),"")</f>
        <v>7775</v>
      </c>
    </row>
    <row r="62" spans="1:8" x14ac:dyDescent="0.25">
      <c r="B62" s="26"/>
      <c r="C62" s="122">
        <v>8</v>
      </c>
      <c r="D62" s="122">
        <v>200</v>
      </c>
      <c r="E62" s="35">
        <v>350</v>
      </c>
      <c r="F62" s="40">
        <v>159</v>
      </c>
      <c r="G62" s="38" t="s">
        <v>2285</v>
      </c>
      <c r="H62" s="34">
        <f>IFERROR(_xlfn.XLOOKUP(G62,Index!$A:$A,Index!$B:$B),"")</f>
        <v>10202</v>
      </c>
    </row>
    <row r="63" spans="1:8" x14ac:dyDescent="0.25">
      <c r="B63" s="26"/>
      <c r="C63" s="122">
        <v>10</v>
      </c>
      <c r="D63" s="122">
        <v>250</v>
      </c>
      <c r="E63" s="35">
        <v>480</v>
      </c>
      <c r="F63" s="40">
        <v>218</v>
      </c>
      <c r="G63" s="38" t="s">
        <v>2286</v>
      </c>
      <c r="H63" s="34">
        <f>IFERROR(_xlfn.XLOOKUP(G63,Index!$A:$A,Index!$B:$B),"")</f>
        <v>16756</v>
      </c>
    </row>
    <row r="64" spans="1:8" x14ac:dyDescent="0.25">
      <c r="B64" s="26"/>
      <c r="C64" s="123">
        <v>12</v>
      </c>
      <c r="D64" s="122">
        <v>300</v>
      </c>
      <c r="E64" s="35">
        <v>660</v>
      </c>
      <c r="F64" s="40">
        <v>299</v>
      </c>
      <c r="G64" s="38" t="s">
        <v>2287</v>
      </c>
      <c r="H64" s="34">
        <f>IFERROR(_xlfn.XLOOKUP(G64,Index!$A:$A,Index!$B:$B),"")</f>
        <v>25898</v>
      </c>
    </row>
    <row r="65" spans="1:8" x14ac:dyDescent="0.25">
      <c r="A65" s="100"/>
      <c r="B65" s="120"/>
      <c r="C65" s="123">
        <v>14</v>
      </c>
      <c r="D65" s="122">
        <v>350</v>
      </c>
      <c r="E65" s="35">
        <v>790</v>
      </c>
      <c r="F65" s="40">
        <v>358</v>
      </c>
      <c r="G65" s="38" t="s">
        <v>2288</v>
      </c>
      <c r="H65" s="34">
        <f>IFERROR(_xlfn.XLOOKUP(G65,Index!$A:$A,Index!$B:$B),"")</f>
        <v>31076</v>
      </c>
    </row>
  </sheetData>
  <conditionalFormatting sqref="F2:F3 D4:D5">
    <cfRule type="expression" dxfId="319" priority="16">
      <formula>D2="Not a valid item #"</formula>
    </cfRule>
    <cfRule type="expression" dxfId="318" priority="17">
      <formula>D2="Not in NPSLS"</formula>
    </cfRule>
    <cfRule type="expression" dxfId="317" priority="18">
      <formula>D2="Obsolete"</formula>
    </cfRule>
    <cfRule type="expression" dxfId="316" priority="19">
      <formula>D2=""</formula>
    </cfRule>
    <cfRule type="expression" dxfId="315" priority="20">
      <formula>D2="List Price"</formula>
    </cfRule>
  </conditionalFormatting>
  <conditionalFormatting sqref="F21:F22 D23:D24">
    <cfRule type="expression" dxfId="314" priority="11">
      <formula>D21="Not a valid item #"</formula>
    </cfRule>
    <cfRule type="expression" dxfId="313" priority="12">
      <formula>D21="Not in NPSLS"</formula>
    </cfRule>
    <cfRule type="expression" dxfId="312" priority="13">
      <formula>D21="Obsolete"</formula>
    </cfRule>
    <cfRule type="expression" dxfId="311" priority="14">
      <formula>D21=""</formula>
    </cfRule>
    <cfRule type="expression" dxfId="310" priority="15">
      <formula>D21="List Price"</formula>
    </cfRule>
  </conditionalFormatting>
  <conditionalFormatting sqref="F36:F37 D38:D39">
    <cfRule type="expression" dxfId="309" priority="6">
      <formula>D36="Not a valid item #"</formula>
    </cfRule>
    <cfRule type="expression" dxfId="308" priority="7">
      <formula>D36="Not in NPSLS"</formula>
    </cfRule>
    <cfRule type="expression" dxfId="307" priority="8">
      <formula>D36="Obsolete"</formula>
    </cfRule>
    <cfRule type="expression" dxfId="306" priority="9">
      <formula>D36=""</formula>
    </cfRule>
    <cfRule type="expression" dxfId="305" priority="10">
      <formula>D36="List Price"</formula>
    </cfRule>
  </conditionalFormatting>
  <conditionalFormatting sqref="F52:F53 D54:D55">
    <cfRule type="expression" dxfId="304" priority="1">
      <formula>D52="Not a valid item #"</formula>
    </cfRule>
    <cfRule type="expression" dxfId="303" priority="2">
      <formula>D52="Not in NPSLS"</formula>
    </cfRule>
    <cfRule type="expression" dxfId="302" priority="3">
      <formula>D52="Obsolete"</formula>
    </cfRule>
    <cfRule type="expression" dxfId="301" priority="4">
      <formula>D52=""</formula>
    </cfRule>
    <cfRule type="expression" dxfId="300" priority="5">
      <formula>D52="List Price"</formula>
    </cfRule>
  </conditionalFormatting>
  <hyperlinks>
    <hyperlink ref="A1" location="'Table of Contents'!A1" display="Return Home" xr:uid="{A886D49A-6399-4A6D-9051-6355A5F5EF4D}"/>
  </hyperlink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F99-85EA-4849-9636-E1D592834652}">
  <sheetPr codeName="Sheet15"/>
  <dimension ref="A1:K208"/>
  <sheetViews>
    <sheetView showGridLines="0" zoomScale="80" zoomScaleNormal="80" workbookViewId="0"/>
  </sheetViews>
  <sheetFormatPr defaultRowHeight="15" x14ac:dyDescent="0.25"/>
  <cols>
    <col min="1" max="1" width="18.7109375" customWidth="1"/>
    <col min="2" max="2" width="29.140625" bestFit="1" customWidth="1"/>
    <col min="3" max="4" width="9.85546875" customWidth="1"/>
    <col min="5" max="5" width="12.28515625" customWidth="1"/>
    <col min="6" max="6" width="11.28515625" customWidth="1"/>
    <col min="9" max="9" width="10.28515625" customWidth="1"/>
    <col min="10" max="10" width="14" customWidth="1"/>
    <col min="11" max="11" width="14.5703125" customWidth="1"/>
    <col min="12" max="13" width="11.28515625" bestFit="1" customWidth="1"/>
    <col min="14" max="14" width="13.28515625" bestFit="1" customWidth="1"/>
    <col min="15" max="15" width="10.85546875" bestFit="1" customWidth="1"/>
    <col min="16" max="16" width="11.28515625" bestFit="1" customWidth="1"/>
    <col min="17" max="17" width="10.28515625" bestFit="1" customWidth="1"/>
  </cols>
  <sheetData>
    <row r="1" spans="1:10" x14ac:dyDescent="0.25">
      <c r="A1" s="255" t="s">
        <v>5540</v>
      </c>
    </row>
    <row r="2" spans="1:10" ht="15.75" x14ac:dyDescent="0.25">
      <c r="A2" s="62" t="s">
        <v>2289</v>
      </c>
      <c r="B2" s="62" t="s">
        <v>468</v>
      </c>
      <c r="C2" s="14"/>
      <c r="D2" s="14"/>
      <c r="E2" s="14"/>
      <c r="F2" s="3"/>
      <c r="G2" s="8"/>
      <c r="H2" s="110"/>
      <c r="I2" s="111"/>
      <c r="J2" s="19"/>
    </row>
    <row r="3" spans="1:10" ht="15.75" x14ac:dyDescent="0.25">
      <c r="A3" s="48" t="s">
        <v>2290</v>
      </c>
      <c r="B3" s="11"/>
      <c r="C3" s="4"/>
      <c r="D3" s="4"/>
      <c r="E3" s="4"/>
      <c r="F3" s="4"/>
      <c r="G3" s="5"/>
      <c r="H3" s="110"/>
      <c r="I3" s="4"/>
      <c r="J3" s="19"/>
    </row>
    <row r="4" spans="1:10" ht="24" x14ac:dyDescent="0.25">
      <c r="A4" s="102" t="s">
        <v>35</v>
      </c>
      <c r="B4" s="344" t="s">
        <v>2291</v>
      </c>
      <c r="C4" s="345"/>
      <c r="D4" s="345"/>
      <c r="E4" s="337" t="s">
        <v>38</v>
      </c>
      <c r="F4" s="337"/>
      <c r="G4" s="337" t="s">
        <v>39</v>
      </c>
      <c r="H4" s="336"/>
      <c r="I4" s="42" t="s">
        <v>40</v>
      </c>
      <c r="J4" s="24" t="s">
        <v>41</v>
      </c>
    </row>
    <row r="5" spans="1:10" x14ac:dyDescent="0.25">
      <c r="A5" s="96"/>
      <c r="B5" s="129" t="s">
        <v>2292</v>
      </c>
      <c r="C5" s="130" t="s">
        <v>2293</v>
      </c>
      <c r="D5" s="130" t="s">
        <v>2294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0" x14ac:dyDescent="0.25">
      <c r="A6" s="60" t="s">
        <v>2295</v>
      </c>
      <c r="B6" s="135" t="s">
        <v>2296</v>
      </c>
      <c r="C6" s="89" t="s">
        <v>2297</v>
      </c>
      <c r="D6" s="89" t="s">
        <v>2296</v>
      </c>
      <c r="E6" s="64">
        <v>2</v>
      </c>
      <c r="F6" s="98">
        <v>50</v>
      </c>
      <c r="G6" s="35">
        <v>4</v>
      </c>
      <c r="H6" s="40">
        <v>1.8</v>
      </c>
      <c r="I6" s="38" t="s">
        <v>2298</v>
      </c>
      <c r="J6" s="34">
        <f>IFERROR(_xlfn.XLOOKUP(I6,Index!$A:$A,Index!$B:$B),"")</f>
        <v>329</v>
      </c>
    </row>
    <row r="7" spans="1:10" x14ac:dyDescent="0.25">
      <c r="A7" s="26"/>
      <c r="B7" s="99"/>
      <c r="C7" s="30"/>
      <c r="D7" s="30"/>
      <c r="E7" s="64" t="s">
        <v>231</v>
      </c>
      <c r="F7" s="98">
        <v>65</v>
      </c>
      <c r="G7" s="35">
        <v>6</v>
      </c>
      <c r="H7" s="40">
        <v>2.7</v>
      </c>
      <c r="I7" s="38" t="s">
        <v>2299</v>
      </c>
      <c r="J7" s="34">
        <f>IFERROR(_xlfn.XLOOKUP(I7,Index!$A:$A,Index!$B:$B),"")</f>
        <v>381.5</v>
      </c>
    </row>
    <row r="8" spans="1:10" x14ac:dyDescent="0.25">
      <c r="A8" s="26"/>
      <c r="B8" s="99"/>
      <c r="C8" s="30"/>
      <c r="D8" s="30"/>
      <c r="E8" s="36">
        <v>3</v>
      </c>
      <c r="F8" s="98">
        <v>80</v>
      </c>
      <c r="G8" s="35">
        <v>8</v>
      </c>
      <c r="H8" s="40">
        <v>3.6</v>
      </c>
      <c r="I8" s="38" t="s">
        <v>2300</v>
      </c>
      <c r="J8" s="34">
        <f>IFERROR(_xlfn.XLOOKUP(I8,Index!$A:$A,Index!$B:$B),"")</f>
        <v>440.5</v>
      </c>
    </row>
    <row r="9" spans="1:10" x14ac:dyDescent="0.25">
      <c r="A9" s="124"/>
      <c r="B9" s="133"/>
      <c r="C9" s="124"/>
      <c r="D9" s="124"/>
      <c r="E9" s="36">
        <v>4</v>
      </c>
      <c r="F9" s="98">
        <v>100</v>
      </c>
      <c r="G9" s="35">
        <v>14</v>
      </c>
      <c r="H9" s="40">
        <v>6.4</v>
      </c>
      <c r="I9" s="38" t="s">
        <v>2301</v>
      </c>
      <c r="J9" s="34">
        <f>IFERROR(_xlfn.XLOOKUP(I9,Index!$A:$A,Index!$B:$B),"")</f>
        <v>565</v>
      </c>
    </row>
    <row r="10" spans="1:10" x14ac:dyDescent="0.25">
      <c r="A10" s="124"/>
      <c r="B10" s="133"/>
      <c r="C10" s="124"/>
      <c r="D10" s="124"/>
      <c r="E10" s="36">
        <v>5</v>
      </c>
      <c r="F10" s="98">
        <v>125</v>
      </c>
      <c r="G10" s="35">
        <v>18</v>
      </c>
      <c r="H10" s="40">
        <v>8.1999999999999993</v>
      </c>
      <c r="I10" s="38" t="s">
        <v>2302</v>
      </c>
      <c r="J10" s="34">
        <f>IFERROR(_xlfn.XLOOKUP(I10,Index!$A:$A,Index!$B:$B),"")</f>
        <v>856.5</v>
      </c>
    </row>
    <row r="11" spans="1:10" x14ac:dyDescent="0.25">
      <c r="A11" s="124"/>
      <c r="B11" s="133"/>
      <c r="C11" s="124"/>
      <c r="D11" s="124"/>
      <c r="E11" s="36">
        <v>6</v>
      </c>
      <c r="F11" s="98">
        <v>150</v>
      </c>
      <c r="G11" s="35">
        <v>27</v>
      </c>
      <c r="H11" s="40">
        <v>12.2</v>
      </c>
      <c r="I11" s="38" t="s">
        <v>2303</v>
      </c>
      <c r="J11" s="34">
        <f>IFERROR(_xlfn.XLOOKUP(I11,Index!$A:$A,Index!$B:$B),"")</f>
        <v>1005</v>
      </c>
    </row>
    <row r="12" spans="1:10" x14ac:dyDescent="0.25">
      <c r="A12" s="124"/>
      <c r="B12" s="133"/>
      <c r="C12" s="124"/>
      <c r="D12" s="124"/>
      <c r="E12" s="36">
        <v>8</v>
      </c>
      <c r="F12" s="98">
        <v>200</v>
      </c>
      <c r="G12" s="35">
        <v>50</v>
      </c>
      <c r="H12" s="40">
        <v>23</v>
      </c>
      <c r="I12" s="38" t="s">
        <v>2304</v>
      </c>
      <c r="J12" s="34">
        <f>IFERROR(_xlfn.XLOOKUP(I12,Index!$A:$A,Index!$B:$B),"")</f>
        <v>2051</v>
      </c>
    </row>
    <row r="13" spans="1:10" x14ac:dyDescent="0.25">
      <c r="A13" s="124"/>
      <c r="B13" s="133"/>
      <c r="C13" s="124"/>
      <c r="D13" s="124"/>
      <c r="E13" s="36">
        <v>10</v>
      </c>
      <c r="F13" s="98">
        <v>250</v>
      </c>
      <c r="G13" s="35">
        <v>70</v>
      </c>
      <c r="H13" s="40">
        <v>32</v>
      </c>
      <c r="I13" s="38" t="s">
        <v>2305</v>
      </c>
      <c r="J13" s="34">
        <f>IFERROR(_xlfn.XLOOKUP(I13,Index!$A:$A,Index!$B:$B),"")</f>
        <v>3373</v>
      </c>
    </row>
    <row r="14" spans="1:10" x14ac:dyDescent="0.25">
      <c r="A14" s="124"/>
      <c r="B14" s="133"/>
      <c r="C14" s="124"/>
      <c r="D14" s="124"/>
      <c r="E14" s="36">
        <v>12</v>
      </c>
      <c r="F14" s="98">
        <v>300</v>
      </c>
      <c r="G14" s="35">
        <v>108</v>
      </c>
      <c r="H14" s="40">
        <v>49</v>
      </c>
      <c r="I14" s="38" t="s">
        <v>2306</v>
      </c>
      <c r="J14" s="34">
        <f>IFERROR(_xlfn.XLOOKUP(I14,Index!$A:$A,Index!$B:$B),"")</f>
        <v>4587</v>
      </c>
    </row>
    <row r="15" spans="1:10" x14ac:dyDescent="0.25">
      <c r="A15" s="124"/>
      <c r="B15" s="133"/>
      <c r="C15" s="124"/>
      <c r="D15" s="124"/>
      <c r="E15" s="36">
        <v>14</v>
      </c>
      <c r="F15" s="98">
        <v>350</v>
      </c>
      <c r="G15" s="35">
        <v>170</v>
      </c>
      <c r="H15" s="40">
        <v>77</v>
      </c>
      <c r="I15" s="38" t="s">
        <v>2307</v>
      </c>
      <c r="J15" s="34">
        <f>IFERROR(_xlfn.XLOOKUP(I15,Index!$A:$A,Index!$B:$B),"")</f>
        <v>8439</v>
      </c>
    </row>
    <row r="16" spans="1:10" x14ac:dyDescent="0.25">
      <c r="A16" s="124"/>
      <c r="B16" s="133"/>
      <c r="C16" s="124"/>
      <c r="D16" s="124"/>
      <c r="E16" s="36">
        <v>16</v>
      </c>
      <c r="F16" s="98">
        <v>400</v>
      </c>
      <c r="G16" s="35">
        <v>225</v>
      </c>
      <c r="H16" s="40">
        <v>102</v>
      </c>
      <c r="I16" s="38" t="s">
        <v>2308</v>
      </c>
      <c r="J16" s="34">
        <f>IFERROR(_xlfn.XLOOKUP(I16,Index!$A:$A,Index!$B:$B),"")</f>
        <v>11428</v>
      </c>
    </row>
    <row r="17" spans="1:10" x14ac:dyDescent="0.25">
      <c r="A17" s="124"/>
      <c r="B17" s="133"/>
      <c r="C17" s="124"/>
      <c r="D17" s="124"/>
      <c r="E17" s="36">
        <v>18</v>
      </c>
      <c r="F17" s="98">
        <v>450</v>
      </c>
      <c r="G17" s="35">
        <v>260</v>
      </c>
      <c r="H17" s="40">
        <v>118</v>
      </c>
      <c r="I17" s="38" t="s">
        <v>2309</v>
      </c>
      <c r="J17" s="34">
        <f>IFERROR(_xlfn.XLOOKUP(I17,Index!$A:$A,Index!$B:$B),"")</f>
        <v>14438</v>
      </c>
    </row>
    <row r="18" spans="1:10" x14ac:dyDescent="0.25">
      <c r="A18" s="124"/>
      <c r="B18" s="133"/>
      <c r="C18" s="124"/>
      <c r="D18" s="124"/>
      <c r="E18" s="36">
        <v>20</v>
      </c>
      <c r="F18" s="98">
        <v>500</v>
      </c>
      <c r="G18" s="35">
        <v>300</v>
      </c>
      <c r="H18" s="40">
        <v>136</v>
      </c>
      <c r="I18" s="38" t="s">
        <v>2310</v>
      </c>
      <c r="J18" s="34">
        <f>IFERROR(_xlfn.XLOOKUP(I18,Index!$A:$A,Index!$B:$B),"")</f>
        <v>15742</v>
      </c>
    </row>
    <row r="19" spans="1:10" x14ac:dyDescent="0.25">
      <c r="A19" s="124"/>
      <c r="B19" s="133"/>
      <c r="C19" s="124"/>
      <c r="D19" s="124"/>
      <c r="E19" s="36">
        <v>24</v>
      </c>
      <c r="F19" s="98">
        <v>600</v>
      </c>
      <c r="G19" s="35">
        <v>480</v>
      </c>
      <c r="H19" s="40">
        <v>218</v>
      </c>
      <c r="I19" s="38" t="s">
        <v>2311</v>
      </c>
      <c r="J19" s="34">
        <f>IFERROR(_xlfn.XLOOKUP(I19,Index!$A:$A,Index!$B:$B),"")</f>
        <v>21878</v>
      </c>
    </row>
    <row r="20" spans="1:10" x14ac:dyDescent="0.25">
      <c r="A20" s="124"/>
      <c r="B20" s="133"/>
      <c r="C20" s="134"/>
      <c r="D20" s="120"/>
      <c r="E20" s="119">
        <v>30</v>
      </c>
      <c r="F20" s="98">
        <v>750</v>
      </c>
      <c r="G20" s="35">
        <v>1050</v>
      </c>
      <c r="H20" s="40">
        <v>476</v>
      </c>
      <c r="I20" s="38" t="s">
        <v>2312</v>
      </c>
      <c r="J20" s="34">
        <f>IFERROR(_xlfn.XLOOKUP(I20,Index!$A:$A,Index!$B:$B),"")</f>
        <v>42263</v>
      </c>
    </row>
    <row r="21" spans="1:10" x14ac:dyDescent="0.25">
      <c r="A21" s="60" t="s">
        <v>2313</v>
      </c>
      <c r="B21" s="135" t="s">
        <v>2296</v>
      </c>
      <c r="C21" s="89" t="s">
        <v>2297</v>
      </c>
      <c r="D21" s="30" t="s">
        <v>2314</v>
      </c>
      <c r="E21" s="64">
        <v>2</v>
      </c>
      <c r="F21" s="98">
        <v>50</v>
      </c>
      <c r="G21" s="35">
        <v>4</v>
      </c>
      <c r="H21" s="40">
        <v>1.8</v>
      </c>
      <c r="I21" s="38" t="s">
        <v>2315</v>
      </c>
      <c r="J21" s="34">
        <f>IFERROR(_xlfn.XLOOKUP(I21,Index!$A:$A,Index!$B:$B),"")</f>
        <v>460.5</v>
      </c>
    </row>
    <row r="22" spans="1:10" x14ac:dyDescent="0.25">
      <c r="A22" s="124"/>
      <c r="B22" s="133"/>
      <c r="C22" s="124"/>
      <c r="D22" s="124"/>
      <c r="E22" s="64" t="s">
        <v>231</v>
      </c>
      <c r="F22" s="98">
        <v>65</v>
      </c>
      <c r="G22" s="35">
        <v>6</v>
      </c>
      <c r="H22" s="40">
        <v>2.7</v>
      </c>
      <c r="I22" s="38" t="s">
        <v>5542</v>
      </c>
      <c r="J22" s="34">
        <f>J21+79</f>
        <v>539.5</v>
      </c>
    </row>
    <row r="23" spans="1:10" x14ac:dyDescent="0.25">
      <c r="A23" s="124"/>
      <c r="B23" s="133"/>
      <c r="C23" s="124"/>
      <c r="D23" s="124"/>
      <c r="E23" s="36">
        <v>3</v>
      </c>
      <c r="F23" s="98">
        <v>80</v>
      </c>
      <c r="G23" s="35">
        <v>8</v>
      </c>
      <c r="H23" s="40">
        <v>3.6</v>
      </c>
      <c r="I23" s="38" t="s">
        <v>2316</v>
      </c>
      <c r="J23" s="34">
        <f>IFERROR(_xlfn.XLOOKUP(I23,Index!$A:$A,Index!$B:$B),"")</f>
        <v>748.5</v>
      </c>
    </row>
    <row r="24" spans="1:10" x14ac:dyDescent="0.25">
      <c r="A24" s="124"/>
      <c r="B24" s="133"/>
      <c r="C24" s="124"/>
      <c r="D24" s="124"/>
      <c r="E24" s="36">
        <v>4</v>
      </c>
      <c r="F24" s="98">
        <v>100</v>
      </c>
      <c r="G24" s="35">
        <v>14</v>
      </c>
      <c r="H24" s="40">
        <v>6.4</v>
      </c>
      <c r="I24" s="38" t="s">
        <v>2317</v>
      </c>
      <c r="J24" s="34">
        <f>IFERROR(_xlfn.XLOOKUP(I24,Index!$A:$A,Index!$B:$B),"")</f>
        <v>906.5</v>
      </c>
    </row>
    <row r="25" spans="1:10" x14ac:dyDescent="0.25">
      <c r="A25" s="124"/>
      <c r="B25" s="133"/>
      <c r="C25" s="124"/>
      <c r="D25" s="124"/>
      <c r="E25" s="36">
        <v>6</v>
      </c>
      <c r="F25" s="98">
        <v>150</v>
      </c>
      <c r="G25" s="35">
        <v>27</v>
      </c>
      <c r="H25" s="40">
        <v>12.2</v>
      </c>
      <c r="I25" s="38" t="s">
        <v>2318</v>
      </c>
      <c r="J25" s="34">
        <f>IFERROR(_xlfn.XLOOKUP(I25,Index!$A:$A,Index!$B:$B),"")</f>
        <v>1420</v>
      </c>
    </row>
    <row r="26" spans="1:10" x14ac:dyDescent="0.25">
      <c r="A26" s="124"/>
      <c r="B26" s="133"/>
      <c r="C26" s="124"/>
      <c r="D26" s="124"/>
      <c r="E26" s="36">
        <v>8</v>
      </c>
      <c r="F26" s="98">
        <v>200</v>
      </c>
      <c r="G26" s="35">
        <v>50</v>
      </c>
      <c r="H26" s="40">
        <v>23</v>
      </c>
      <c r="I26" s="38" t="s">
        <v>2319</v>
      </c>
      <c r="J26" s="34">
        <f>IFERROR(_xlfn.XLOOKUP(I26,Index!$A:$A,Index!$B:$B),"")</f>
        <v>2490</v>
      </c>
    </row>
    <row r="27" spans="1:10" x14ac:dyDescent="0.25">
      <c r="A27" s="124"/>
      <c r="B27" s="133"/>
      <c r="C27" s="124"/>
      <c r="D27" s="124"/>
      <c r="E27" s="36">
        <v>10</v>
      </c>
      <c r="F27" s="98">
        <v>250</v>
      </c>
      <c r="G27" s="35">
        <v>70</v>
      </c>
      <c r="H27" s="40">
        <v>32</v>
      </c>
      <c r="I27" s="38" t="s">
        <v>2320</v>
      </c>
      <c r="J27" s="34">
        <f>IFERROR(_xlfn.XLOOKUP(I27,Index!$A:$A,Index!$B:$B),"")</f>
        <v>4114</v>
      </c>
    </row>
    <row r="28" spans="1:10" x14ac:dyDescent="0.25">
      <c r="A28" s="120"/>
      <c r="B28" s="120"/>
      <c r="C28" s="120"/>
      <c r="D28" s="120"/>
      <c r="E28" s="119">
        <v>12</v>
      </c>
      <c r="F28" s="98">
        <v>300</v>
      </c>
      <c r="G28" s="35">
        <v>108</v>
      </c>
      <c r="H28" s="40">
        <v>49</v>
      </c>
      <c r="I28" s="38" t="s">
        <v>5542</v>
      </c>
      <c r="J28" s="34">
        <f>J27+1138</f>
        <v>5252</v>
      </c>
    </row>
    <row r="30" spans="1:10" ht="15.75" x14ac:dyDescent="0.25">
      <c r="A30" s="62" t="s">
        <v>2321</v>
      </c>
      <c r="B30" s="62" t="s">
        <v>468</v>
      </c>
      <c r="C30" s="14"/>
      <c r="D30" s="14"/>
      <c r="E30" s="14"/>
      <c r="F30" s="3"/>
      <c r="G30" s="8"/>
      <c r="H30" s="110"/>
      <c r="I30" s="111"/>
      <c r="J30" s="19"/>
    </row>
    <row r="31" spans="1:10" ht="15.75" x14ac:dyDescent="0.25">
      <c r="A31" s="48" t="s">
        <v>2322</v>
      </c>
      <c r="B31" s="11"/>
      <c r="C31" s="4"/>
      <c r="D31" s="4"/>
      <c r="E31" s="4"/>
      <c r="F31" s="4"/>
      <c r="G31" s="5"/>
      <c r="H31" s="110"/>
      <c r="I31" s="4"/>
      <c r="J31" s="19"/>
    </row>
    <row r="32" spans="1:10" ht="24" x14ac:dyDescent="0.25">
      <c r="A32" s="102" t="s">
        <v>35</v>
      </c>
      <c r="B32" s="344" t="s">
        <v>2291</v>
      </c>
      <c r="C32" s="345"/>
      <c r="D32" s="345"/>
      <c r="E32" s="335" t="s">
        <v>38</v>
      </c>
      <c r="F32" s="336"/>
      <c r="G32" s="337" t="s">
        <v>39</v>
      </c>
      <c r="H32" s="336"/>
      <c r="I32" s="42" t="s">
        <v>40</v>
      </c>
      <c r="J32" s="24" t="s">
        <v>41</v>
      </c>
    </row>
    <row r="33" spans="1:11" x14ac:dyDescent="0.25">
      <c r="A33" s="96"/>
      <c r="B33" s="129" t="s">
        <v>2292</v>
      </c>
      <c r="C33" s="130" t="s">
        <v>2293</v>
      </c>
      <c r="D33" s="130" t="s">
        <v>2294</v>
      </c>
      <c r="E33" s="33" t="s">
        <v>44</v>
      </c>
      <c r="F33" s="33" t="s">
        <v>45</v>
      </c>
      <c r="G33" s="33" t="s">
        <v>46</v>
      </c>
      <c r="H33" s="39" t="s">
        <v>47</v>
      </c>
      <c r="I33" s="33"/>
      <c r="J33" s="41"/>
    </row>
    <row r="34" spans="1:11" x14ac:dyDescent="0.25">
      <c r="A34" s="60" t="s">
        <v>2323</v>
      </c>
      <c r="B34" s="135" t="s">
        <v>2296</v>
      </c>
      <c r="C34" s="89" t="s">
        <v>2297</v>
      </c>
      <c r="D34" s="89" t="s">
        <v>2296</v>
      </c>
      <c r="E34" s="64">
        <v>2</v>
      </c>
      <c r="F34" s="98">
        <v>50</v>
      </c>
      <c r="G34" s="35">
        <v>4</v>
      </c>
      <c r="H34" s="40">
        <v>1.8</v>
      </c>
      <c r="I34" s="38" t="s">
        <v>2324</v>
      </c>
      <c r="J34" s="34">
        <f>IFERROR(_xlfn.XLOOKUP(I34,Index!$A:$A,Index!$B:$B),"")</f>
        <v>208.5</v>
      </c>
      <c r="K34" s="257"/>
    </row>
    <row r="35" spans="1:11" x14ac:dyDescent="0.25">
      <c r="A35" s="26"/>
      <c r="B35" s="99"/>
      <c r="C35" s="30"/>
      <c r="D35" s="30"/>
      <c r="E35" s="64" t="s">
        <v>231</v>
      </c>
      <c r="F35" s="98">
        <v>65</v>
      </c>
      <c r="G35" s="35">
        <v>6</v>
      </c>
      <c r="H35" s="40">
        <v>2.7</v>
      </c>
      <c r="I35" s="38" t="s">
        <v>2325</v>
      </c>
      <c r="J35" s="34">
        <f>IFERROR(_xlfn.XLOOKUP(I35,Index!$A:$A,Index!$B:$B),"")</f>
        <v>241</v>
      </c>
      <c r="K35" s="257"/>
    </row>
    <row r="36" spans="1:11" x14ac:dyDescent="0.25">
      <c r="A36" s="26"/>
      <c r="B36" s="99"/>
      <c r="C36" s="30"/>
      <c r="D36" s="30"/>
      <c r="E36" s="36">
        <v>3</v>
      </c>
      <c r="F36" s="98">
        <v>80</v>
      </c>
      <c r="G36" s="35">
        <v>8</v>
      </c>
      <c r="H36" s="40">
        <v>3.6</v>
      </c>
      <c r="I36" s="38" t="s">
        <v>2326</v>
      </c>
      <c r="J36" s="34">
        <f>IFERROR(_xlfn.XLOOKUP(I36,Index!$A:$A,Index!$B:$B),"")</f>
        <v>278</v>
      </c>
      <c r="K36" s="257"/>
    </row>
    <row r="37" spans="1:11" x14ac:dyDescent="0.25">
      <c r="A37" s="124"/>
      <c r="B37" s="133"/>
      <c r="C37" s="124"/>
      <c r="D37" s="124"/>
      <c r="E37" s="36">
        <v>4</v>
      </c>
      <c r="F37" s="98">
        <v>100</v>
      </c>
      <c r="G37" s="35">
        <v>14</v>
      </c>
      <c r="H37" s="40">
        <v>6.4</v>
      </c>
      <c r="I37" s="38" t="s">
        <v>2327</v>
      </c>
      <c r="J37" s="34">
        <f>IFERROR(_xlfn.XLOOKUP(I37,Index!$A:$A,Index!$B:$B),"")</f>
        <v>358</v>
      </c>
      <c r="K37" s="257"/>
    </row>
    <row r="38" spans="1:11" x14ac:dyDescent="0.25">
      <c r="A38" s="124"/>
      <c r="B38" s="133"/>
      <c r="C38" s="124"/>
      <c r="D38" s="124"/>
      <c r="E38" s="36">
        <v>5</v>
      </c>
      <c r="F38" s="98">
        <v>125</v>
      </c>
      <c r="G38" s="35">
        <v>18</v>
      </c>
      <c r="H38" s="40">
        <v>8.1999999999999993</v>
      </c>
      <c r="I38" s="38" t="s">
        <v>2328</v>
      </c>
      <c r="J38" s="34">
        <f>IFERROR(_xlfn.XLOOKUP(I38,Index!$A:$A,Index!$B:$B),"")</f>
        <v>541</v>
      </c>
      <c r="K38" s="257"/>
    </row>
    <row r="39" spans="1:11" x14ac:dyDescent="0.25">
      <c r="A39" s="124"/>
      <c r="B39" s="133"/>
      <c r="C39" s="124"/>
      <c r="D39" s="124"/>
      <c r="E39" s="36">
        <v>6</v>
      </c>
      <c r="F39" s="98">
        <v>150</v>
      </c>
      <c r="G39" s="35">
        <v>27</v>
      </c>
      <c r="H39" s="40">
        <v>12.2</v>
      </c>
      <c r="I39" s="38" t="s">
        <v>2329</v>
      </c>
      <c r="J39" s="34">
        <f>IFERROR(_xlfn.XLOOKUP(I39,Index!$A:$A,Index!$B:$B),"")</f>
        <v>634.5</v>
      </c>
      <c r="K39" s="257"/>
    </row>
    <row r="40" spans="1:11" x14ac:dyDescent="0.25">
      <c r="A40" s="124"/>
      <c r="B40" s="133"/>
      <c r="C40" s="124"/>
      <c r="D40" s="124"/>
      <c r="E40" s="36">
        <v>8</v>
      </c>
      <c r="F40" s="98">
        <v>200</v>
      </c>
      <c r="G40" s="35">
        <v>50</v>
      </c>
      <c r="H40" s="40">
        <v>23</v>
      </c>
      <c r="I40" s="38" t="s">
        <v>2330</v>
      </c>
      <c r="J40" s="34">
        <f>IFERROR(_xlfn.XLOOKUP(I40,Index!$A:$A,Index!$B:$B),"")</f>
        <v>1294</v>
      </c>
      <c r="K40" s="257"/>
    </row>
    <row r="41" spans="1:11" x14ac:dyDescent="0.25">
      <c r="A41" s="124"/>
      <c r="B41" s="133"/>
      <c r="C41" s="124"/>
      <c r="D41" s="124"/>
      <c r="E41" s="36">
        <v>10</v>
      </c>
      <c r="F41" s="98">
        <v>250</v>
      </c>
      <c r="G41" s="35">
        <v>70</v>
      </c>
      <c r="H41" s="40">
        <v>32</v>
      </c>
      <c r="I41" s="38" t="s">
        <v>2331</v>
      </c>
      <c r="J41" s="34">
        <f>IFERROR(_xlfn.XLOOKUP(I41,Index!$A:$A,Index!$B:$B),"")</f>
        <v>2130</v>
      </c>
      <c r="K41" s="257"/>
    </row>
    <row r="42" spans="1:11" x14ac:dyDescent="0.25">
      <c r="A42" s="120"/>
      <c r="B42" s="126"/>
      <c r="C42" s="120"/>
      <c r="D42" s="120"/>
      <c r="E42" s="36">
        <v>12</v>
      </c>
      <c r="F42" s="98">
        <v>300</v>
      </c>
      <c r="G42" s="35">
        <v>108</v>
      </c>
      <c r="H42" s="40">
        <v>49</v>
      </c>
      <c r="I42" s="38" t="s">
        <v>2332</v>
      </c>
      <c r="J42" s="34">
        <f>IFERROR(_xlfn.XLOOKUP(I42,Index!$A:$A,Index!$B:$B),"")</f>
        <v>2896</v>
      </c>
      <c r="K42" s="257"/>
    </row>
    <row r="43" spans="1:11" x14ac:dyDescent="0.25">
      <c r="E43" s="220"/>
      <c r="F43" s="142"/>
      <c r="G43" s="4"/>
      <c r="H43" s="19"/>
      <c r="I43" s="19"/>
      <c r="J43" s="84"/>
    </row>
    <row r="45" spans="1:11" ht="15.75" x14ac:dyDescent="0.25">
      <c r="A45" s="62" t="s">
        <v>2333</v>
      </c>
      <c r="B45" s="62" t="s">
        <v>468</v>
      </c>
      <c r="C45" s="14"/>
      <c r="D45" s="14"/>
      <c r="E45" s="14"/>
      <c r="F45" s="3"/>
      <c r="G45" s="8"/>
      <c r="H45" s="110"/>
      <c r="I45" s="111"/>
      <c r="J45" s="19"/>
    </row>
    <row r="46" spans="1:11" ht="15.75" x14ac:dyDescent="0.25">
      <c r="A46" s="48" t="s">
        <v>2334</v>
      </c>
      <c r="B46" s="11"/>
      <c r="C46" s="4"/>
      <c r="D46" s="4"/>
      <c r="E46" s="4"/>
      <c r="F46" s="4"/>
      <c r="G46" s="5"/>
      <c r="H46" s="110"/>
      <c r="I46" s="4"/>
      <c r="J46" s="19"/>
    </row>
    <row r="47" spans="1:11" ht="24" x14ac:dyDescent="0.25">
      <c r="A47" s="102" t="s">
        <v>35</v>
      </c>
      <c r="B47" s="344" t="s">
        <v>2291</v>
      </c>
      <c r="C47" s="345"/>
      <c r="D47" s="345"/>
      <c r="E47" s="335" t="s">
        <v>38</v>
      </c>
      <c r="F47" s="336"/>
      <c r="G47" s="337" t="s">
        <v>39</v>
      </c>
      <c r="H47" s="336"/>
      <c r="I47" s="42" t="s">
        <v>40</v>
      </c>
      <c r="J47" s="24" t="s">
        <v>41</v>
      </c>
    </row>
    <row r="48" spans="1:11" x14ac:dyDescent="0.25">
      <c r="A48" s="32"/>
      <c r="B48" s="129" t="s">
        <v>2292</v>
      </c>
      <c r="C48" s="130" t="s">
        <v>2293</v>
      </c>
      <c r="D48" s="130" t="s">
        <v>2294</v>
      </c>
      <c r="E48" s="33" t="s">
        <v>44</v>
      </c>
      <c r="F48" s="33" t="s">
        <v>45</v>
      </c>
      <c r="G48" s="33" t="s">
        <v>46</v>
      </c>
      <c r="H48" s="39" t="s">
        <v>47</v>
      </c>
      <c r="I48" s="33"/>
      <c r="J48" s="41"/>
    </row>
    <row r="49" spans="1:11" x14ac:dyDescent="0.25">
      <c r="A49" s="60" t="s">
        <v>2335</v>
      </c>
      <c r="B49" s="92" t="s">
        <v>1897</v>
      </c>
      <c r="C49" s="89" t="s">
        <v>2297</v>
      </c>
      <c r="D49" s="89" t="s">
        <v>2296</v>
      </c>
      <c r="E49" s="64">
        <v>4</v>
      </c>
      <c r="F49" s="98">
        <v>100</v>
      </c>
      <c r="G49" s="35">
        <v>15</v>
      </c>
      <c r="H49" s="40">
        <v>7</v>
      </c>
      <c r="I49" s="38" t="s">
        <v>2336</v>
      </c>
      <c r="J49" s="34">
        <f>IFERROR(_xlfn.XLOOKUP(I49,Index!$A:$A,Index!$B:$B),"")</f>
        <v>936</v>
      </c>
    </row>
    <row r="50" spans="1:11" x14ac:dyDescent="0.25">
      <c r="A50" s="26"/>
      <c r="B50" s="26"/>
      <c r="C50" s="30"/>
      <c r="D50" s="30"/>
      <c r="E50" s="64">
        <v>6</v>
      </c>
      <c r="F50" s="98">
        <v>150</v>
      </c>
      <c r="G50" s="35">
        <v>33</v>
      </c>
      <c r="H50" s="40">
        <v>15</v>
      </c>
      <c r="I50" s="38" t="s">
        <v>2337</v>
      </c>
      <c r="J50" s="34">
        <f>IFERROR(_xlfn.XLOOKUP(I50,Index!$A:$A,Index!$B:$B),"")</f>
        <v>1487</v>
      </c>
    </row>
    <row r="51" spans="1:11" x14ac:dyDescent="0.25">
      <c r="A51" s="26"/>
      <c r="B51" s="26"/>
      <c r="C51" s="30"/>
      <c r="D51" s="30"/>
      <c r="E51" s="36">
        <v>8</v>
      </c>
      <c r="F51" s="98">
        <v>200</v>
      </c>
      <c r="G51" s="35">
        <v>58</v>
      </c>
      <c r="H51" s="40">
        <v>26</v>
      </c>
      <c r="I51" s="38" t="s">
        <v>2338</v>
      </c>
      <c r="J51" s="34">
        <f>IFERROR(_xlfn.XLOOKUP(I51,Index!$A:$A,Index!$B:$B),"")</f>
        <v>2256</v>
      </c>
    </row>
    <row r="52" spans="1:11" x14ac:dyDescent="0.25">
      <c r="A52" s="124"/>
      <c r="B52" s="124"/>
      <c r="C52" s="124"/>
      <c r="D52" s="124"/>
      <c r="E52" s="36">
        <v>10</v>
      </c>
      <c r="F52" s="98">
        <v>250</v>
      </c>
      <c r="G52" s="35">
        <v>89</v>
      </c>
      <c r="H52" s="40">
        <v>40</v>
      </c>
      <c r="I52" s="38" t="s">
        <v>2339</v>
      </c>
      <c r="J52" s="34">
        <f>IFERROR(_xlfn.XLOOKUP(I52,Index!$A:$A,Index!$B:$B),"")</f>
        <v>3572</v>
      </c>
    </row>
    <row r="53" spans="1:11" x14ac:dyDescent="0.25">
      <c r="A53" s="120"/>
      <c r="B53" s="120"/>
      <c r="C53" s="120"/>
      <c r="D53" s="120"/>
      <c r="E53" s="36">
        <v>12</v>
      </c>
      <c r="F53" s="98">
        <v>300</v>
      </c>
      <c r="G53" s="35">
        <v>160</v>
      </c>
      <c r="H53" s="40">
        <v>73</v>
      </c>
      <c r="I53" s="38" t="s">
        <v>2340</v>
      </c>
      <c r="J53" s="34">
        <f>IFERROR(_xlfn.XLOOKUP(I53,Index!$A:$A,Index!$B:$B),"")</f>
        <v>4854</v>
      </c>
    </row>
    <row r="55" spans="1:11" x14ac:dyDescent="0.25">
      <c r="E55" s="220"/>
      <c r="F55" s="142"/>
      <c r="G55" s="4"/>
      <c r="H55" s="19"/>
      <c r="I55" s="19"/>
      <c r="J55" s="84"/>
    </row>
    <row r="56" spans="1:11" ht="15.75" x14ac:dyDescent="0.25">
      <c r="A56" s="62" t="s">
        <v>2341</v>
      </c>
      <c r="B56" s="62" t="s">
        <v>647</v>
      </c>
      <c r="C56" s="14"/>
      <c r="D56" s="14"/>
      <c r="E56" s="14"/>
      <c r="F56" s="3"/>
      <c r="G56" s="8"/>
      <c r="H56" s="110"/>
      <c r="I56" s="111"/>
      <c r="J56" s="19"/>
    </row>
    <row r="57" spans="1:11" ht="15.75" x14ac:dyDescent="0.25">
      <c r="A57" s="48" t="s">
        <v>2342</v>
      </c>
      <c r="B57" s="11"/>
      <c r="C57" s="4"/>
      <c r="D57" s="4"/>
      <c r="E57" s="4"/>
      <c r="F57" s="4"/>
      <c r="G57" s="5"/>
      <c r="H57" s="110"/>
      <c r="I57" s="4"/>
      <c r="J57" s="19"/>
    </row>
    <row r="58" spans="1:11" x14ac:dyDescent="0.25">
      <c r="A58" s="102" t="s">
        <v>35</v>
      </c>
      <c r="B58" s="140" t="s">
        <v>1880</v>
      </c>
      <c r="C58" s="344" t="s">
        <v>2291</v>
      </c>
      <c r="D58" s="345"/>
      <c r="E58" s="345"/>
      <c r="F58" s="335" t="s">
        <v>38</v>
      </c>
      <c r="G58" s="336"/>
      <c r="H58" s="337" t="s">
        <v>39</v>
      </c>
      <c r="I58" s="336"/>
      <c r="J58" s="42" t="s">
        <v>40</v>
      </c>
      <c r="K58" s="24" t="s">
        <v>41</v>
      </c>
    </row>
    <row r="59" spans="1:11" x14ac:dyDescent="0.25">
      <c r="A59" s="32"/>
      <c r="B59" s="129"/>
      <c r="C59" s="129" t="s">
        <v>2292</v>
      </c>
      <c r="D59" s="130" t="s">
        <v>2293</v>
      </c>
      <c r="E59" s="130" t="s">
        <v>2294</v>
      </c>
      <c r="F59" s="33" t="s">
        <v>44</v>
      </c>
      <c r="G59" s="33" t="s">
        <v>45</v>
      </c>
      <c r="H59" s="33" t="s">
        <v>46</v>
      </c>
      <c r="I59" s="39" t="s">
        <v>47</v>
      </c>
      <c r="J59" s="33"/>
      <c r="K59" s="41"/>
    </row>
    <row r="60" spans="1:11" x14ac:dyDescent="0.25">
      <c r="A60" s="60" t="s">
        <v>2343</v>
      </c>
      <c r="B60" s="60" t="s">
        <v>2344</v>
      </c>
      <c r="C60" s="92" t="s">
        <v>2296</v>
      </c>
      <c r="D60" s="89" t="s">
        <v>2297</v>
      </c>
      <c r="E60" s="89" t="s">
        <v>2296</v>
      </c>
      <c r="F60" s="64">
        <v>2</v>
      </c>
      <c r="G60" s="98">
        <v>50</v>
      </c>
      <c r="H60" s="35">
        <v>5</v>
      </c>
      <c r="I60" s="40">
        <v>2.2999999999999998</v>
      </c>
      <c r="J60" s="38" t="s">
        <v>2345</v>
      </c>
      <c r="K60" s="34">
        <f>IFERROR(_xlfn.XLOOKUP(J60,Index!$A:$A,Index!$B:$B),"")</f>
        <v>572.5</v>
      </c>
    </row>
    <row r="61" spans="1:11" x14ac:dyDescent="0.25">
      <c r="A61" s="26"/>
      <c r="B61" s="26"/>
      <c r="C61" s="26"/>
      <c r="D61" s="30"/>
      <c r="E61" s="30"/>
      <c r="F61" s="64" t="s">
        <v>231</v>
      </c>
      <c r="G61" s="98">
        <v>65</v>
      </c>
      <c r="H61" s="35">
        <v>8</v>
      </c>
      <c r="I61" s="40">
        <v>3.6</v>
      </c>
      <c r="J61" s="38" t="s">
        <v>2346</v>
      </c>
      <c r="K61" s="34">
        <f>IFERROR(_xlfn.XLOOKUP(J61,Index!$A:$A,Index!$B:$B),"")</f>
        <v>675</v>
      </c>
    </row>
    <row r="62" spans="1:11" x14ac:dyDescent="0.25">
      <c r="A62" s="26"/>
      <c r="B62" s="26"/>
      <c r="C62" s="26"/>
      <c r="D62" s="30"/>
      <c r="E62" s="30"/>
      <c r="F62" s="36">
        <v>3</v>
      </c>
      <c r="G62" s="98">
        <v>80</v>
      </c>
      <c r="H62" s="35">
        <v>10</v>
      </c>
      <c r="I62" s="40">
        <v>4.5</v>
      </c>
      <c r="J62" s="38" t="s">
        <v>2347</v>
      </c>
      <c r="K62" s="34">
        <f>IFERROR(_xlfn.XLOOKUP(J62,Index!$A:$A,Index!$B:$B),"")</f>
        <v>776.5</v>
      </c>
    </row>
    <row r="63" spans="1:11" x14ac:dyDescent="0.25">
      <c r="A63" s="124"/>
      <c r="B63" s="124"/>
      <c r="C63" s="124"/>
      <c r="D63" s="124"/>
      <c r="E63" s="124"/>
      <c r="F63" s="36">
        <v>4</v>
      </c>
      <c r="G63" s="98">
        <v>100</v>
      </c>
      <c r="H63" s="35">
        <v>16</v>
      </c>
      <c r="I63" s="40">
        <v>7.3</v>
      </c>
      <c r="J63" s="38" t="s">
        <v>2348</v>
      </c>
      <c r="K63" s="34">
        <f>IFERROR(_xlfn.XLOOKUP(J63,Index!$A:$A,Index!$B:$B),"")</f>
        <v>983.5</v>
      </c>
    </row>
    <row r="64" spans="1:11" x14ac:dyDescent="0.25">
      <c r="A64" s="124"/>
      <c r="B64" s="124"/>
      <c r="C64" s="124"/>
      <c r="D64" s="124"/>
      <c r="E64" s="124"/>
      <c r="F64" s="36">
        <v>5</v>
      </c>
      <c r="G64" s="98">
        <v>125</v>
      </c>
      <c r="H64" s="35">
        <v>21</v>
      </c>
      <c r="I64" s="40">
        <v>9.5</v>
      </c>
      <c r="J64" s="38" t="s">
        <v>2349</v>
      </c>
      <c r="K64" s="34">
        <f>IFERROR(_xlfn.XLOOKUP(J64,Index!$A:$A,Index!$B:$B),"")</f>
        <v>1430</v>
      </c>
    </row>
    <row r="65" spans="1:11" x14ac:dyDescent="0.25">
      <c r="A65" s="124"/>
      <c r="B65" s="124"/>
      <c r="C65" s="124"/>
      <c r="D65" s="124"/>
      <c r="E65" s="124"/>
      <c r="F65" s="36">
        <v>6</v>
      </c>
      <c r="G65" s="98">
        <v>150</v>
      </c>
      <c r="H65" s="35">
        <v>29</v>
      </c>
      <c r="I65" s="40">
        <v>13.2</v>
      </c>
      <c r="J65" s="38" t="s">
        <v>2350</v>
      </c>
      <c r="K65" s="34">
        <f>IFERROR(_xlfn.XLOOKUP(J65,Index!$A:$A,Index!$B:$B),"")</f>
        <v>1909</v>
      </c>
    </row>
    <row r="66" spans="1:11" x14ac:dyDescent="0.25">
      <c r="A66" s="124"/>
      <c r="B66" s="124"/>
      <c r="C66" s="124"/>
      <c r="D66" s="124"/>
      <c r="E66" s="124"/>
      <c r="F66" s="36">
        <v>8</v>
      </c>
      <c r="G66" s="98">
        <v>200</v>
      </c>
      <c r="H66" s="35">
        <v>52</v>
      </c>
      <c r="I66" s="40">
        <v>24</v>
      </c>
      <c r="J66" s="38" t="s">
        <v>2351</v>
      </c>
      <c r="K66" s="34">
        <f>IFERROR(_xlfn.XLOOKUP(J66,Index!$A:$A,Index!$B:$B),"")</f>
        <v>2415</v>
      </c>
    </row>
    <row r="67" spans="1:11" x14ac:dyDescent="0.25">
      <c r="A67" s="124"/>
      <c r="B67" s="124"/>
      <c r="C67" s="124"/>
      <c r="D67" s="124"/>
      <c r="E67" s="124"/>
      <c r="F67" s="36">
        <v>10</v>
      </c>
      <c r="G67" s="98">
        <v>250</v>
      </c>
      <c r="H67" s="35">
        <v>93</v>
      </c>
      <c r="I67" s="40">
        <v>42</v>
      </c>
      <c r="J67" s="38" t="s">
        <v>2352</v>
      </c>
      <c r="K67" s="34">
        <f>IFERROR(_xlfn.XLOOKUP(J67,Index!$A:$A,Index!$B:$B),"")</f>
        <v>3815</v>
      </c>
    </row>
    <row r="68" spans="1:11" x14ac:dyDescent="0.25">
      <c r="A68" s="124"/>
      <c r="B68" s="124"/>
      <c r="C68" s="124"/>
      <c r="D68" s="124"/>
      <c r="E68" s="124"/>
      <c r="F68" s="36">
        <v>12</v>
      </c>
      <c r="G68" s="98">
        <v>300</v>
      </c>
      <c r="H68" s="35">
        <v>147</v>
      </c>
      <c r="I68" s="40">
        <v>67</v>
      </c>
      <c r="J68" s="38" t="s">
        <v>2353</v>
      </c>
      <c r="K68" s="34">
        <f>IFERROR(_xlfn.XLOOKUP(J68,Index!$A:$A,Index!$B:$B),"")</f>
        <v>5090</v>
      </c>
    </row>
    <row r="69" spans="1:11" x14ac:dyDescent="0.25">
      <c r="A69" s="124"/>
      <c r="B69" s="124"/>
      <c r="C69" s="124"/>
      <c r="D69" s="124"/>
      <c r="E69" s="124"/>
      <c r="F69" s="36">
        <v>14</v>
      </c>
      <c r="G69" s="98">
        <v>350</v>
      </c>
      <c r="H69" s="35">
        <v>220</v>
      </c>
      <c r="I69" s="40">
        <v>100</v>
      </c>
      <c r="J69" s="38" t="s">
        <v>2354</v>
      </c>
      <c r="K69" s="34">
        <f>IFERROR(_xlfn.XLOOKUP(J69,Index!$A:$A,Index!$B:$B),"")</f>
        <v>10243</v>
      </c>
    </row>
    <row r="70" spans="1:11" x14ac:dyDescent="0.25">
      <c r="A70" s="124"/>
      <c r="B70" s="124"/>
      <c r="C70" s="124"/>
      <c r="D70" s="124"/>
      <c r="E70" s="124"/>
      <c r="F70" s="36">
        <v>16</v>
      </c>
      <c r="G70" s="98">
        <v>400</v>
      </c>
      <c r="H70" s="35">
        <v>240</v>
      </c>
      <c r="I70" s="40">
        <v>109</v>
      </c>
      <c r="J70" s="38" t="s">
        <v>2355</v>
      </c>
      <c r="K70" s="34">
        <f>IFERROR(_xlfn.XLOOKUP(J70,Index!$A:$A,Index!$B:$B),"")</f>
        <v>16293</v>
      </c>
    </row>
    <row r="71" spans="1:11" x14ac:dyDescent="0.25">
      <c r="A71" s="124"/>
      <c r="B71" s="124"/>
      <c r="C71" s="124"/>
      <c r="D71" s="124"/>
      <c r="E71" s="124"/>
      <c r="F71" s="36">
        <v>18</v>
      </c>
      <c r="G71" s="98">
        <v>450</v>
      </c>
      <c r="H71" s="35">
        <v>280</v>
      </c>
      <c r="I71" s="40">
        <v>127</v>
      </c>
      <c r="J71" s="38" t="s">
        <v>2356</v>
      </c>
      <c r="K71" s="34">
        <f>IFERROR(_xlfn.XLOOKUP(J71,Index!$A:$A,Index!$B:$B),"")</f>
        <v>19550</v>
      </c>
    </row>
    <row r="72" spans="1:11" x14ac:dyDescent="0.25">
      <c r="A72" s="124"/>
      <c r="B72" s="124"/>
      <c r="C72" s="124"/>
      <c r="D72" s="124"/>
      <c r="E72" s="124"/>
      <c r="F72" s="36">
        <v>20</v>
      </c>
      <c r="G72" s="98">
        <v>500</v>
      </c>
      <c r="H72" s="35">
        <v>400</v>
      </c>
      <c r="I72" s="40">
        <v>181</v>
      </c>
      <c r="J72" s="38" t="s">
        <v>5542</v>
      </c>
      <c r="K72" s="34">
        <f>K71+3129</f>
        <v>22679</v>
      </c>
    </row>
    <row r="73" spans="1:11" x14ac:dyDescent="0.25">
      <c r="A73" s="124"/>
      <c r="B73" s="124"/>
      <c r="C73" s="124"/>
      <c r="D73" s="124"/>
      <c r="E73" s="120"/>
      <c r="F73" s="36">
        <v>24</v>
      </c>
      <c r="G73" s="98">
        <v>600</v>
      </c>
      <c r="H73" s="35">
        <v>560</v>
      </c>
      <c r="I73" s="40">
        <v>254</v>
      </c>
      <c r="J73" s="38" t="s">
        <v>2357</v>
      </c>
      <c r="K73" s="34">
        <f>IFERROR(_xlfn.XLOOKUP(J73,Index!$A:$A,Index!$B:$B),"")</f>
        <v>28151</v>
      </c>
    </row>
    <row r="74" spans="1:11" x14ac:dyDescent="0.25">
      <c r="A74" s="60" t="s">
        <v>2358</v>
      </c>
      <c r="B74" s="60" t="s">
        <v>2344</v>
      </c>
      <c r="C74" s="92" t="s">
        <v>2296</v>
      </c>
      <c r="D74" s="89" t="s">
        <v>2297</v>
      </c>
      <c r="E74" s="30" t="s">
        <v>2314</v>
      </c>
      <c r="F74" s="64">
        <v>2</v>
      </c>
      <c r="G74" s="98">
        <v>50</v>
      </c>
      <c r="H74" s="35">
        <v>4</v>
      </c>
      <c r="I74" s="40">
        <v>1.8</v>
      </c>
      <c r="J74" s="38" t="s">
        <v>2359</v>
      </c>
      <c r="K74" s="34">
        <f>IFERROR(_xlfn.XLOOKUP(J74,Index!$A:$A,Index!$B:$B),"")</f>
        <v>704.5</v>
      </c>
    </row>
    <row r="75" spans="1:11" x14ac:dyDescent="0.25">
      <c r="A75" s="124"/>
      <c r="B75" s="124"/>
      <c r="C75" s="124"/>
      <c r="D75" s="124"/>
      <c r="E75" s="124"/>
      <c r="F75" s="64" t="s">
        <v>231</v>
      </c>
      <c r="G75" s="98">
        <v>65</v>
      </c>
      <c r="H75" s="35">
        <v>6</v>
      </c>
      <c r="I75" s="40">
        <v>2.7</v>
      </c>
      <c r="J75" s="38" t="s">
        <v>5542</v>
      </c>
      <c r="K75" s="34">
        <f>K74+118</f>
        <v>822.5</v>
      </c>
    </row>
    <row r="76" spans="1:11" x14ac:dyDescent="0.25">
      <c r="A76" s="124"/>
      <c r="B76" s="124"/>
      <c r="C76" s="124"/>
      <c r="D76" s="124"/>
      <c r="E76" s="124"/>
      <c r="F76" s="36">
        <v>3</v>
      </c>
      <c r="G76" s="98">
        <v>80</v>
      </c>
      <c r="H76" s="35">
        <v>8</v>
      </c>
      <c r="I76" s="40">
        <v>3.6</v>
      </c>
      <c r="J76" s="38" t="s">
        <v>5542</v>
      </c>
      <c r="K76" s="34">
        <f>K75+187</f>
        <v>1009.5</v>
      </c>
    </row>
    <row r="77" spans="1:11" x14ac:dyDescent="0.25">
      <c r="A77" s="124"/>
      <c r="B77" s="124"/>
      <c r="C77" s="124"/>
      <c r="D77" s="124"/>
      <c r="E77" s="124"/>
      <c r="F77" s="36">
        <v>4</v>
      </c>
      <c r="G77" s="98">
        <v>100</v>
      </c>
      <c r="H77" s="35">
        <v>14</v>
      </c>
      <c r="I77" s="40">
        <v>6.4</v>
      </c>
      <c r="J77" s="38" t="s">
        <v>5542</v>
      </c>
      <c r="K77" s="34">
        <f>K76+192</f>
        <v>1201.5</v>
      </c>
    </row>
    <row r="78" spans="1:11" x14ac:dyDescent="0.25">
      <c r="A78" s="124"/>
      <c r="B78" s="124"/>
      <c r="C78" s="124"/>
      <c r="D78" s="124"/>
      <c r="E78" s="124"/>
      <c r="F78" s="36">
        <v>6</v>
      </c>
      <c r="G78" s="98">
        <v>150</v>
      </c>
      <c r="H78" s="35">
        <v>27</v>
      </c>
      <c r="I78" s="40">
        <v>12.2</v>
      </c>
      <c r="J78" s="38" t="s">
        <v>5542</v>
      </c>
      <c r="K78" s="34">
        <f>K77+797</f>
        <v>1998.5</v>
      </c>
    </row>
    <row r="79" spans="1:11" x14ac:dyDescent="0.25">
      <c r="A79" s="124"/>
      <c r="B79" s="124"/>
      <c r="C79" s="124"/>
      <c r="D79" s="124"/>
      <c r="E79" s="124"/>
      <c r="F79" s="36">
        <v>8</v>
      </c>
      <c r="G79" s="98">
        <v>200</v>
      </c>
      <c r="H79" s="35">
        <v>50</v>
      </c>
      <c r="I79" s="40">
        <v>23</v>
      </c>
      <c r="J79" s="38" t="s">
        <v>5542</v>
      </c>
      <c r="K79" s="34">
        <f>K78+427</f>
        <v>2425.5</v>
      </c>
    </row>
    <row r="80" spans="1:11" x14ac:dyDescent="0.25">
      <c r="A80" s="124"/>
      <c r="B80" s="124"/>
      <c r="C80" s="124"/>
      <c r="D80" s="124"/>
      <c r="E80" s="124"/>
      <c r="F80" s="36">
        <v>10</v>
      </c>
      <c r="G80" s="98">
        <v>250</v>
      </c>
      <c r="H80" s="35">
        <v>70</v>
      </c>
      <c r="I80" s="40">
        <v>32</v>
      </c>
      <c r="J80" s="38" t="s">
        <v>5542</v>
      </c>
      <c r="K80" s="34">
        <f>K79+1156</f>
        <v>3581.5</v>
      </c>
    </row>
    <row r="81" spans="1:11" x14ac:dyDescent="0.25">
      <c r="A81" s="120"/>
      <c r="B81" s="120"/>
      <c r="C81" s="120"/>
      <c r="D81" s="120"/>
      <c r="E81" s="120"/>
      <c r="F81" s="36">
        <v>12</v>
      </c>
      <c r="G81" s="98">
        <v>300</v>
      </c>
      <c r="H81" s="35">
        <v>108</v>
      </c>
      <c r="I81" s="40">
        <v>49</v>
      </c>
      <c r="J81" s="38" t="s">
        <v>5542</v>
      </c>
      <c r="K81" s="34">
        <f>K80+1186</f>
        <v>4767.5</v>
      </c>
    </row>
    <row r="82" spans="1:11" x14ac:dyDescent="0.25">
      <c r="A82" s="60" t="s">
        <v>2360</v>
      </c>
      <c r="B82" s="60" t="s">
        <v>2361</v>
      </c>
      <c r="C82" s="92" t="s">
        <v>2296</v>
      </c>
      <c r="D82" s="89" t="s">
        <v>2297</v>
      </c>
      <c r="E82" s="89" t="s">
        <v>2296</v>
      </c>
      <c r="F82" s="64">
        <v>2</v>
      </c>
      <c r="G82" s="98">
        <v>50</v>
      </c>
      <c r="H82" s="35">
        <v>5</v>
      </c>
      <c r="I82" s="40">
        <v>2.2999999999999998</v>
      </c>
      <c r="J82" s="38" t="s">
        <v>2362</v>
      </c>
      <c r="K82" s="34">
        <f>IFERROR(_xlfn.XLOOKUP(J82,Index!$A:$A,Index!$B:$B),"")</f>
        <v>1306</v>
      </c>
    </row>
    <row r="83" spans="1:11" x14ac:dyDescent="0.25">
      <c r="A83" s="26"/>
      <c r="B83" s="26"/>
      <c r="C83" s="26"/>
      <c r="D83" s="30"/>
      <c r="E83" s="30"/>
      <c r="F83" s="64" t="s">
        <v>231</v>
      </c>
      <c r="G83" s="98">
        <v>65</v>
      </c>
      <c r="H83" s="35">
        <v>8</v>
      </c>
      <c r="I83" s="40">
        <v>3.6</v>
      </c>
      <c r="J83" s="38" t="s">
        <v>2363</v>
      </c>
      <c r="K83" s="34">
        <f>IFERROR(_xlfn.XLOOKUP(J83,Index!$A:$A,Index!$B:$B),"")</f>
        <v>1709</v>
      </c>
    </row>
    <row r="84" spans="1:11" x14ac:dyDescent="0.25">
      <c r="A84" s="26"/>
      <c r="B84" s="26"/>
      <c r="C84" s="26"/>
      <c r="D84" s="30"/>
      <c r="E84" s="30"/>
      <c r="F84" s="36">
        <v>3</v>
      </c>
      <c r="G84" s="98">
        <v>80</v>
      </c>
      <c r="H84" s="35">
        <v>10</v>
      </c>
      <c r="I84" s="40">
        <v>4.5</v>
      </c>
      <c r="J84" s="38" t="s">
        <v>2364</v>
      </c>
      <c r="K84" s="34">
        <f>IFERROR(_xlfn.XLOOKUP(J84,Index!$A:$A,Index!$B:$B),"")</f>
        <v>1894</v>
      </c>
    </row>
    <row r="85" spans="1:11" x14ac:dyDescent="0.25">
      <c r="A85" s="124"/>
      <c r="B85" s="124"/>
      <c r="C85" s="124"/>
      <c r="D85" s="124"/>
      <c r="E85" s="124"/>
      <c r="F85" s="36">
        <v>4</v>
      </c>
      <c r="G85" s="98">
        <v>100</v>
      </c>
      <c r="H85" s="35">
        <v>16</v>
      </c>
      <c r="I85" s="40">
        <v>7.3</v>
      </c>
      <c r="J85" s="38" t="s">
        <v>2365</v>
      </c>
      <c r="K85" s="34">
        <f>IFERROR(_xlfn.XLOOKUP(J85,Index!$A:$A,Index!$B:$B),"")</f>
        <v>2156</v>
      </c>
    </row>
    <row r="86" spans="1:11" x14ac:dyDescent="0.25">
      <c r="A86" s="124"/>
      <c r="B86" s="124"/>
      <c r="C86" s="124"/>
      <c r="D86" s="124"/>
      <c r="E86" s="124"/>
      <c r="F86" s="36">
        <v>5</v>
      </c>
      <c r="G86" s="98">
        <v>125</v>
      </c>
      <c r="H86" s="35">
        <v>21</v>
      </c>
      <c r="I86" s="40">
        <v>9.5</v>
      </c>
      <c r="J86" s="38" t="s">
        <v>2366</v>
      </c>
      <c r="K86" s="34">
        <f>IFERROR(_xlfn.XLOOKUP(J86,Index!$A:$A,Index!$B:$B),"")</f>
        <v>2852</v>
      </c>
    </row>
    <row r="87" spans="1:11" x14ac:dyDescent="0.25">
      <c r="A87" s="124"/>
      <c r="B87" s="124"/>
      <c r="C87" s="124"/>
      <c r="D87" s="124"/>
      <c r="E87" s="124"/>
      <c r="F87" s="36">
        <v>6</v>
      </c>
      <c r="G87" s="98">
        <v>150</v>
      </c>
      <c r="H87" s="35">
        <v>29</v>
      </c>
      <c r="I87" s="40">
        <v>13.2</v>
      </c>
      <c r="J87" s="38" t="s">
        <v>2367</v>
      </c>
      <c r="K87" s="34">
        <f>IFERROR(_xlfn.XLOOKUP(J87,Index!$A:$A,Index!$B:$B),"")</f>
        <v>2852</v>
      </c>
    </row>
    <row r="88" spans="1:11" x14ac:dyDescent="0.25">
      <c r="A88" s="124"/>
      <c r="B88" s="124"/>
      <c r="C88" s="124"/>
      <c r="D88" s="124"/>
      <c r="E88" s="124"/>
      <c r="F88" s="36">
        <v>8</v>
      </c>
      <c r="G88" s="98">
        <v>200</v>
      </c>
      <c r="H88" s="35">
        <v>52</v>
      </c>
      <c r="I88" s="40">
        <v>24</v>
      </c>
      <c r="J88" s="38" t="s">
        <v>2368</v>
      </c>
      <c r="K88" s="34">
        <f>IFERROR(_xlfn.XLOOKUP(J88,Index!$A:$A,Index!$B:$B),"")</f>
        <v>4271</v>
      </c>
    </row>
    <row r="89" spans="1:11" x14ac:dyDescent="0.25">
      <c r="A89" s="124"/>
      <c r="B89" s="124"/>
      <c r="C89" s="124"/>
      <c r="D89" s="124"/>
      <c r="E89" s="124"/>
      <c r="F89" s="36">
        <v>10</v>
      </c>
      <c r="G89" s="98">
        <v>250</v>
      </c>
      <c r="H89" s="35">
        <v>93</v>
      </c>
      <c r="I89" s="40">
        <v>42</v>
      </c>
      <c r="J89" s="38" t="s">
        <v>2369</v>
      </c>
      <c r="K89" s="34">
        <f>IFERROR(_xlfn.XLOOKUP(J89,Index!$A:$A,Index!$B:$B),"")</f>
        <v>6434</v>
      </c>
    </row>
    <row r="90" spans="1:11" x14ac:dyDescent="0.25">
      <c r="A90" s="124"/>
      <c r="B90" s="124"/>
      <c r="C90" s="124"/>
      <c r="D90" s="124"/>
      <c r="E90" s="124"/>
      <c r="F90" s="36">
        <v>12</v>
      </c>
      <c r="G90" s="98">
        <v>300</v>
      </c>
      <c r="H90" s="35">
        <v>147</v>
      </c>
      <c r="I90" s="40">
        <v>67</v>
      </c>
      <c r="J90" s="38" t="s">
        <v>2370</v>
      </c>
      <c r="K90" s="34">
        <f>IFERROR(_xlfn.XLOOKUP(J90,Index!$A:$A,Index!$B:$B),"")</f>
        <v>9324</v>
      </c>
    </row>
    <row r="91" spans="1:11" x14ac:dyDescent="0.25">
      <c r="A91" s="124"/>
      <c r="B91" s="124"/>
      <c r="C91" s="124"/>
      <c r="D91" s="124"/>
      <c r="E91" s="124"/>
      <c r="F91" s="36">
        <v>14</v>
      </c>
      <c r="G91" s="98">
        <v>350</v>
      </c>
      <c r="H91" s="35">
        <v>220</v>
      </c>
      <c r="I91" s="40">
        <v>100</v>
      </c>
      <c r="J91" s="38" t="s">
        <v>2371</v>
      </c>
      <c r="K91" s="34">
        <f>IFERROR(_xlfn.XLOOKUP(J91,Index!$A:$A,Index!$B:$B),"")</f>
        <v>15431</v>
      </c>
    </row>
    <row r="92" spans="1:11" x14ac:dyDescent="0.25">
      <c r="A92" s="124"/>
      <c r="B92" s="124"/>
      <c r="C92" s="124"/>
      <c r="D92" s="124"/>
      <c r="E92" s="124"/>
      <c r="F92" s="36">
        <v>16</v>
      </c>
      <c r="G92" s="98">
        <v>400</v>
      </c>
      <c r="H92" s="35">
        <v>240</v>
      </c>
      <c r="I92" s="40">
        <v>109</v>
      </c>
      <c r="J92" s="38" t="s">
        <v>2372</v>
      </c>
      <c r="K92" s="34">
        <f>IFERROR(_xlfn.XLOOKUP(J92,Index!$A:$A,Index!$B:$B),"")</f>
        <v>23144</v>
      </c>
    </row>
    <row r="93" spans="1:11" x14ac:dyDescent="0.25">
      <c r="A93" s="124"/>
      <c r="B93" s="124"/>
      <c r="C93" s="124"/>
      <c r="D93" s="124"/>
      <c r="E93" s="124"/>
      <c r="F93" s="36">
        <v>18</v>
      </c>
      <c r="G93" s="98">
        <v>450</v>
      </c>
      <c r="H93" s="35">
        <v>280</v>
      </c>
      <c r="I93" s="40">
        <v>127</v>
      </c>
      <c r="J93" s="38" t="s">
        <v>2373</v>
      </c>
      <c r="K93" s="34">
        <f>IFERROR(_xlfn.XLOOKUP(J93,Index!$A:$A,Index!$B:$B),"")</f>
        <v>27772</v>
      </c>
    </row>
    <row r="94" spans="1:11" x14ac:dyDescent="0.25">
      <c r="A94" s="124"/>
      <c r="B94" s="124"/>
      <c r="C94" s="124"/>
      <c r="D94" s="124"/>
      <c r="E94" s="124"/>
      <c r="F94" s="36">
        <v>20</v>
      </c>
      <c r="G94" s="98">
        <v>500</v>
      </c>
      <c r="H94" s="35">
        <v>400</v>
      </c>
      <c r="I94" s="40">
        <v>181</v>
      </c>
      <c r="J94" s="38" t="s">
        <v>2374</v>
      </c>
      <c r="K94" s="34">
        <f>IFERROR(_xlfn.XLOOKUP(J94,Index!$A:$A,Index!$B:$B),"")</f>
        <v>33326</v>
      </c>
    </row>
    <row r="95" spans="1:11" x14ac:dyDescent="0.25">
      <c r="A95" s="124"/>
      <c r="B95" s="124"/>
      <c r="C95" s="124"/>
      <c r="D95" s="124"/>
      <c r="E95" s="124"/>
      <c r="F95" s="36">
        <v>24</v>
      </c>
      <c r="G95" s="98">
        <v>600</v>
      </c>
      <c r="H95" s="35">
        <v>560</v>
      </c>
      <c r="I95" s="40">
        <v>254</v>
      </c>
      <c r="J95" s="38" t="s">
        <v>2375</v>
      </c>
      <c r="K95" s="34">
        <f>IFERROR(_xlfn.XLOOKUP(J95,Index!$A:$A,Index!$B:$B),"")</f>
        <v>39991</v>
      </c>
    </row>
    <row r="96" spans="1:11" x14ac:dyDescent="0.25">
      <c r="A96" s="60" t="s">
        <v>2376</v>
      </c>
      <c r="B96" s="60" t="s">
        <v>2361</v>
      </c>
      <c r="C96" s="92" t="s">
        <v>2296</v>
      </c>
      <c r="D96" s="89" t="s">
        <v>2297</v>
      </c>
      <c r="E96" s="89" t="s">
        <v>2314</v>
      </c>
      <c r="F96" s="64">
        <v>2</v>
      </c>
      <c r="G96" s="98">
        <v>50</v>
      </c>
      <c r="H96" s="35">
        <v>4</v>
      </c>
      <c r="I96" s="40">
        <v>1.8</v>
      </c>
      <c r="J96" s="38" t="s">
        <v>5542</v>
      </c>
      <c r="K96" s="34">
        <f>K83-83</f>
        <v>1626</v>
      </c>
    </row>
    <row r="97" spans="1:11" x14ac:dyDescent="0.25">
      <c r="A97" s="124"/>
      <c r="B97" s="124"/>
      <c r="C97" s="124"/>
      <c r="D97" s="124"/>
      <c r="E97" s="124"/>
      <c r="F97" s="64" t="s">
        <v>231</v>
      </c>
      <c r="G97" s="98">
        <v>65</v>
      </c>
      <c r="H97" s="35">
        <v>6</v>
      </c>
      <c r="I97" s="40">
        <v>2.7</v>
      </c>
      <c r="J97" s="38" t="s">
        <v>5542</v>
      </c>
      <c r="K97" s="34">
        <f>K96+443</f>
        <v>2069</v>
      </c>
    </row>
    <row r="98" spans="1:11" x14ac:dyDescent="0.25">
      <c r="A98" s="124"/>
      <c r="B98" s="124"/>
      <c r="C98" s="124"/>
      <c r="D98" s="124"/>
      <c r="E98" s="124"/>
      <c r="F98" s="36">
        <v>3</v>
      </c>
      <c r="G98" s="98">
        <v>80</v>
      </c>
      <c r="H98" s="35">
        <v>8</v>
      </c>
      <c r="I98" s="40">
        <v>3.6</v>
      </c>
      <c r="J98" s="38" t="s">
        <v>5542</v>
      </c>
      <c r="K98" s="34">
        <f>K97+390</f>
        <v>2459</v>
      </c>
    </row>
    <row r="99" spans="1:11" x14ac:dyDescent="0.25">
      <c r="A99" s="124"/>
      <c r="B99" s="124"/>
      <c r="C99" s="124"/>
      <c r="D99" s="124"/>
      <c r="E99" s="124"/>
      <c r="F99" s="36">
        <v>4</v>
      </c>
      <c r="G99" s="98">
        <v>100</v>
      </c>
      <c r="H99" s="35">
        <v>14</v>
      </c>
      <c r="I99" s="40">
        <v>6.4</v>
      </c>
      <c r="J99" s="38" t="s">
        <v>5542</v>
      </c>
      <c r="K99" s="34">
        <f>K98+206</f>
        <v>2665</v>
      </c>
    </row>
    <row r="100" spans="1:11" x14ac:dyDescent="0.25">
      <c r="A100" s="124"/>
      <c r="B100" s="124"/>
      <c r="C100" s="124"/>
      <c r="D100" s="124"/>
      <c r="E100" s="124"/>
      <c r="F100" s="36">
        <v>6</v>
      </c>
      <c r="G100" s="98">
        <v>150</v>
      </c>
      <c r="H100" s="35">
        <v>27</v>
      </c>
      <c r="I100" s="40">
        <v>12.2</v>
      </c>
      <c r="J100" s="38" t="s">
        <v>5542</v>
      </c>
      <c r="K100" s="34">
        <f>K99+1386</f>
        <v>4051</v>
      </c>
    </row>
    <row r="101" spans="1:11" x14ac:dyDescent="0.25">
      <c r="A101" s="124"/>
      <c r="B101" s="124"/>
      <c r="C101" s="124"/>
      <c r="D101" s="124"/>
      <c r="E101" s="124"/>
      <c r="F101" s="36">
        <v>8</v>
      </c>
      <c r="G101" s="98">
        <v>200</v>
      </c>
      <c r="H101" s="35">
        <v>50</v>
      </c>
      <c r="I101" s="40">
        <v>23</v>
      </c>
      <c r="J101" s="38" t="s">
        <v>2377</v>
      </c>
      <c r="K101" s="34">
        <f>IFERROR(_xlfn.XLOOKUP(J101,Index!$A:$A,Index!$B:$B),"")</f>
        <v>4269</v>
      </c>
    </row>
    <row r="102" spans="1:11" x14ac:dyDescent="0.25">
      <c r="A102" s="124"/>
      <c r="B102" s="124"/>
      <c r="C102" s="124"/>
      <c r="D102" s="124"/>
      <c r="E102" s="124"/>
      <c r="F102" s="36">
        <v>10</v>
      </c>
      <c r="G102" s="98">
        <v>250</v>
      </c>
      <c r="H102" s="35">
        <v>70</v>
      </c>
      <c r="I102" s="40">
        <v>32</v>
      </c>
      <c r="J102" s="38" t="s">
        <v>5542</v>
      </c>
      <c r="K102" s="34">
        <f>K101+2669</f>
        <v>6938</v>
      </c>
    </row>
    <row r="103" spans="1:11" x14ac:dyDescent="0.25">
      <c r="A103" s="120"/>
      <c r="B103" s="120"/>
      <c r="C103" s="120"/>
      <c r="D103" s="120"/>
      <c r="E103" s="120"/>
      <c r="F103" s="36">
        <v>12</v>
      </c>
      <c r="G103" s="98">
        <v>300</v>
      </c>
      <c r="H103" s="35">
        <v>108</v>
      </c>
      <c r="I103" s="40">
        <v>49</v>
      </c>
      <c r="J103" s="38" t="s">
        <v>5542</v>
      </c>
      <c r="K103" s="34">
        <f>K102+1721</f>
        <v>8659</v>
      </c>
    </row>
    <row r="104" spans="1:11" x14ac:dyDescent="0.25">
      <c r="A104" s="60" t="s">
        <v>2378</v>
      </c>
      <c r="B104" s="60" t="s">
        <v>2379</v>
      </c>
      <c r="C104" s="92" t="s">
        <v>2296</v>
      </c>
      <c r="D104" s="89" t="s">
        <v>2297</v>
      </c>
      <c r="E104" s="89" t="s">
        <v>2296</v>
      </c>
      <c r="F104" s="64">
        <v>2</v>
      </c>
      <c r="G104" s="98">
        <v>50</v>
      </c>
      <c r="H104" s="35">
        <v>5</v>
      </c>
      <c r="I104" s="40">
        <v>2.2999999999999998</v>
      </c>
      <c r="J104" s="38" t="s">
        <v>2380</v>
      </c>
      <c r="K104" s="34">
        <f>IFERROR(_xlfn.XLOOKUP(J104,Index!$A:$A,Index!$B:$B),"")</f>
        <v>1382</v>
      </c>
    </row>
    <row r="105" spans="1:11" x14ac:dyDescent="0.25">
      <c r="A105" s="26"/>
      <c r="C105" s="26"/>
      <c r="D105" s="30"/>
      <c r="E105" s="30"/>
      <c r="F105" s="64" t="s">
        <v>231</v>
      </c>
      <c r="G105" s="98">
        <v>65</v>
      </c>
      <c r="H105" s="35">
        <v>8</v>
      </c>
      <c r="I105" s="40">
        <v>3.6</v>
      </c>
      <c r="J105" s="38" t="s">
        <v>2381</v>
      </c>
      <c r="K105" s="34">
        <f>IFERROR(_xlfn.XLOOKUP(J105,Index!$A:$A,Index!$B:$B),"")</f>
        <v>1879</v>
      </c>
    </row>
    <row r="106" spans="1:11" x14ac:dyDescent="0.25">
      <c r="A106" s="26"/>
      <c r="C106" s="26"/>
      <c r="D106" s="30"/>
      <c r="E106" s="30"/>
      <c r="F106" s="36">
        <v>3</v>
      </c>
      <c r="G106" s="98">
        <v>80</v>
      </c>
      <c r="H106" s="35">
        <v>10</v>
      </c>
      <c r="I106" s="40">
        <v>4.5</v>
      </c>
      <c r="J106" s="38" t="s">
        <v>2382</v>
      </c>
      <c r="K106" s="34">
        <f>IFERROR(_xlfn.XLOOKUP(J106,Index!$A:$A,Index!$B:$B),"")</f>
        <v>2184</v>
      </c>
    </row>
    <row r="107" spans="1:11" x14ac:dyDescent="0.25">
      <c r="A107" s="124"/>
      <c r="C107" s="124"/>
      <c r="D107" s="124"/>
      <c r="E107" s="124"/>
      <c r="F107" s="36">
        <v>4</v>
      </c>
      <c r="G107" s="98">
        <v>100</v>
      </c>
      <c r="H107" s="35">
        <v>16</v>
      </c>
      <c r="I107" s="40">
        <v>7.3</v>
      </c>
      <c r="J107" s="38" t="s">
        <v>2383</v>
      </c>
      <c r="K107" s="34">
        <f>IFERROR(_xlfn.XLOOKUP(J107,Index!$A:$A,Index!$B:$B),"")</f>
        <v>2360</v>
      </c>
    </row>
    <row r="108" spans="1:11" x14ac:dyDescent="0.25">
      <c r="A108" s="124"/>
      <c r="C108" s="124"/>
      <c r="D108" s="124"/>
      <c r="E108" s="124"/>
      <c r="F108" s="36">
        <v>5</v>
      </c>
      <c r="G108" s="98">
        <v>125</v>
      </c>
      <c r="H108" s="35">
        <v>21</v>
      </c>
      <c r="I108" s="40">
        <v>9.5</v>
      </c>
      <c r="J108" s="38" t="s">
        <v>2384</v>
      </c>
      <c r="K108" s="34">
        <f>IFERROR(_xlfn.XLOOKUP(J108,Index!$A:$A,Index!$B:$B),"")</f>
        <v>3983</v>
      </c>
    </row>
    <row r="109" spans="1:11" x14ac:dyDescent="0.25">
      <c r="A109" s="124"/>
      <c r="C109" s="124"/>
      <c r="D109" s="124"/>
      <c r="E109" s="124"/>
      <c r="F109" s="36">
        <v>6</v>
      </c>
      <c r="G109" s="98">
        <v>150</v>
      </c>
      <c r="H109" s="35">
        <v>29</v>
      </c>
      <c r="I109" s="40">
        <v>13.2</v>
      </c>
      <c r="J109" s="38" t="s">
        <v>2385</v>
      </c>
      <c r="K109" s="34">
        <f>IFERROR(_xlfn.XLOOKUP(J109,Index!$A:$A,Index!$B:$B),"")</f>
        <v>3983</v>
      </c>
    </row>
    <row r="110" spans="1:11" x14ac:dyDescent="0.25">
      <c r="A110" s="124"/>
      <c r="C110" s="124"/>
      <c r="D110" s="124"/>
      <c r="E110" s="124"/>
      <c r="F110" s="36">
        <v>8</v>
      </c>
      <c r="G110" s="98">
        <v>200</v>
      </c>
      <c r="H110" s="35">
        <v>52</v>
      </c>
      <c r="I110" s="40">
        <v>24</v>
      </c>
      <c r="J110" s="38" t="s">
        <v>2386</v>
      </c>
      <c r="K110" s="34">
        <f>IFERROR(_xlfn.XLOOKUP(J110,Index!$A:$A,Index!$B:$B),"")</f>
        <v>7531</v>
      </c>
    </row>
    <row r="111" spans="1:11" x14ac:dyDescent="0.25">
      <c r="A111" s="124"/>
      <c r="C111" s="124"/>
      <c r="D111" s="124"/>
      <c r="E111" s="124"/>
      <c r="F111" s="36">
        <v>10</v>
      </c>
      <c r="G111" s="98">
        <v>250</v>
      </c>
      <c r="H111" s="35">
        <v>93</v>
      </c>
      <c r="I111" s="40">
        <v>42</v>
      </c>
      <c r="J111" s="38" t="s">
        <v>2387</v>
      </c>
      <c r="K111" s="34">
        <f>IFERROR(_xlfn.XLOOKUP(J111,Index!$A:$A,Index!$B:$B),"")</f>
        <v>11292</v>
      </c>
    </row>
    <row r="112" spans="1:11" x14ac:dyDescent="0.25">
      <c r="A112" s="124"/>
      <c r="C112" s="124"/>
      <c r="D112" s="124"/>
      <c r="E112" s="124"/>
      <c r="F112" s="36">
        <v>12</v>
      </c>
      <c r="G112" s="98">
        <v>300</v>
      </c>
      <c r="H112" s="35">
        <v>147</v>
      </c>
      <c r="I112" s="40">
        <v>67</v>
      </c>
      <c r="J112" s="38" t="s">
        <v>2388</v>
      </c>
      <c r="K112" s="34">
        <f>IFERROR(_xlfn.XLOOKUP(J112,Index!$A:$A,Index!$B:$B),"")</f>
        <v>17502</v>
      </c>
    </row>
    <row r="113" spans="1:11" x14ac:dyDescent="0.25">
      <c r="A113" s="124"/>
      <c r="C113" s="124"/>
      <c r="D113" s="124"/>
      <c r="E113" s="124"/>
      <c r="F113" s="36">
        <v>14</v>
      </c>
      <c r="G113" s="98">
        <v>350</v>
      </c>
      <c r="H113" s="35">
        <v>220</v>
      </c>
      <c r="I113" s="40">
        <v>100</v>
      </c>
      <c r="J113" s="38" t="s">
        <v>2389</v>
      </c>
      <c r="K113" s="34">
        <f>IFERROR(_xlfn.XLOOKUP(J113,Index!$A:$A,Index!$B:$B),"")</f>
        <v>27998</v>
      </c>
    </row>
    <row r="114" spans="1:11" x14ac:dyDescent="0.25">
      <c r="A114" s="124"/>
      <c r="C114" s="124"/>
      <c r="D114" s="124"/>
      <c r="E114" s="124"/>
      <c r="F114" s="36">
        <v>16</v>
      </c>
      <c r="G114" s="98">
        <v>400</v>
      </c>
      <c r="H114" s="35">
        <v>240</v>
      </c>
      <c r="I114" s="40">
        <v>109</v>
      </c>
      <c r="J114" s="38" t="s">
        <v>2390</v>
      </c>
      <c r="K114" s="34">
        <f>IFERROR(_xlfn.XLOOKUP(J114,Index!$A:$A,Index!$B:$B),"")</f>
        <v>41995</v>
      </c>
    </row>
    <row r="115" spans="1:11" x14ac:dyDescent="0.25">
      <c r="A115" s="124"/>
      <c r="C115" s="124"/>
      <c r="D115" s="124"/>
      <c r="E115" s="124"/>
      <c r="F115" s="36">
        <v>18</v>
      </c>
      <c r="G115" s="98">
        <v>450</v>
      </c>
      <c r="H115" s="35">
        <v>280</v>
      </c>
      <c r="I115" s="40">
        <v>127</v>
      </c>
      <c r="J115" s="38" t="s">
        <v>5542</v>
      </c>
      <c r="K115" s="34">
        <f>K114+6721</f>
        <v>48716</v>
      </c>
    </row>
    <row r="116" spans="1:11" x14ac:dyDescent="0.25">
      <c r="A116" s="124"/>
      <c r="C116" s="124"/>
      <c r="D116" s="124"/>
      <c r="E116" s="124"/>
      <c r="F116" s="36">
        <v>20</v>
      </c>
      <c r="G116" s="98">
        <v>500</v>
      </c>
      <c r="H116" s="35">
        <v>400</v>
      </c>
      <c r="I116" s="40">
        <v>181</v>
      </c>
      <c r="J116" s="38" t="s">
        <v>5542</v>
      </c>
      <c r="K116" s="34">
        <f>K115+8065</f>
        <v>56781</v>
      </c>
    </row>
    <row r="117" spans="1:11" x14ac:dyDescent="0.25">
      <c r="A117" s="124"/>
      <c r="C117" s="124"/>
      <c r="D117" s="124"/>
      <c r="E117" s="120"/>
      <c r="F117" s="36">
        <v>24</v>
      </c>
      <c r="G117" s="98">
        <v>600</v>
      </c>
      <c r="H117" s="35">
        <v>560</v>
      </c>
      <c r="I117" s="40">
        <v>254</v>
      </c>
      <c r="J117" s="38" t="s">
        <v>2391</v>
      </c>
      <c r="K117" s="34">
        <f>IFERROR(_xlfn.XLOOKUP(J117,Index!$A:$A,Index!$B:$B),"")</f>
        <v>72565</v>
      </c>
    </row>
    <row r="118" spans="1:11" x14ac:dyDescent="0.25">
      <c r="A118" s="60" t="s">
        <v>2392</v>
      </c>
      <c r="B118" s="60" t="s">
        <v>2379</v>
      </c>
      <c r="C118" s="92" t="s">
        <v>2296</v>
      </c>
      <c r="D118" s="89" t="s">
        <v>2297</v>
      </c>
      <c r="E118" s="30" t="s">
        <v>2314</v>
      </c>
      <c r="F118" s="64">
        <v>2</v>
      </c>
      <c r="G118" s="98">
        <v>50</v>
      </c>
      <c r="H118" s="35">
        <v>4</v>
      </c>
      <c r="I118" s="40">
        <v>1.8</v>
      </c>
      <c r="J118" s="38" t="s">
        <v>5542</v>
      </c>
      <c r="K118" s="34">
        <f>K96-74</f>
        <v>1552</v>
      </c>
    </row>
    <row r="119" spans="1:11" x14ac:dyDescent="0.25">
      <c r="A119" s="124"/>
      <c r="C119" s="124"/>
      <c r="D119" s="124"/>
      <c r="E119" s="124"/>
      <c r="F119" s="64" t="s">
        <v>231</v>
      </c>
      <c r="G119" s="98">
        <v>65</v>
      </c>
      <c r="H119" s="35">
        <v>6</v>
      </c>
      <c r="I119" s="40">
        <v>2.7</v>
      </c>
      <c r="J119" s="38" t="s">
        <v>5542</v>
      </c>
      <c r="K119" s="34">
        <f>K118+420</f>
        <v>1972</v>
      </c>
    </row>
    <row r="120" spans="1:11" x14ac:dyDescent="0.25">
      <c r="A120" s="124"/>
      <c r="C120" s="124"/>
      <c r="D120" s="124"/>
      <c r="E120" s="124"/>
      <c r="F120" s="36">
        <v>3</v>
      </c>
      <c r="G120" s="98">
        <v>80</v>
      </c>
      <c r="H120" s="35">
        <v>8</v>
      </c>
      <c r="I120" s="40">
        <v>3.6</v>
      </c>
      <c r="J120" s="38" t="s">
        <v>5542</v>
      </c>
      <c r="K120" s="34">
        <f>K119+365</f>
        <v>2337</v>
      </c>
    </row>
    <row r="121" spans="1:11" x14ac:dyDescent="0.25">
      <c r="A121" s="124"/>
      <c r="C121" s="124"/>
      <c r="D121" s="124"/>
      <c r="E121" s="124"/>
      <c r="F121" s="36">
        <v>4</v>
      </c>
      <c r="G121" s="98">
        <v>100</v>
      </c>
      <c r="H121" s="35">
        <v>14</v>
      </c>
      <c r="I121" s="40">
        <v>6.4</v>
      </c>
      <c r="J121" s="38" t="s">
        <v>2393</v>
      </c>
      <c r="K121" s="34">
        <f>IFERROR(_xlfn.XLOOKUP(J121,Index!$A:$A,Index!$B:$B),"")</f>
        <v>2701</v>
      </c>
    </row>
    <row r="122" spans="1:11" x14ac:dyDescent="0.25">
      <c r="A122" s="124"/>
      <c r="C122" s="124"/>
      <c r="D122" s="124"/>
      <c r="E122" s="124"/>
      <c r="F122" s="36">
        <v>6</v>
      </c>
      <c r="G122" s="98">
        <v>150</v>
      </c>
      <c r="H122" s="35">
        <v>27</v>
      </c>
      <c r="I122" s="40">
        <v>12.2</v>
      </c>
      <c r="J122" s="38" t="s">
        <v>2394</v>
      </c>
      <c r="K122" s="34">
        <f>IFERROR(_xlfn.XLOOKUP(J122,Index!$A:$A,Index!$B:$B),"")</f>
        <v>4396</v>
      </c>
    </row>
    <row r="123" spans="1:11" x14ac:dyDescent="0.25">
      <c r="A123" s="124"/>
      <c r="C123" s="124"/>
      <c r="D123" s="124"/>
      <c r="E123" s="124"/>
      <c r="F123" s="36">
        <v>8</v>
      </c>
      <c r="G123" s="98">
        <v>200</v>
      </c>
      <c r="H123" s="35">
        <v>50</v>
      </c>
      <c r="I123" s="40">
        <v>23</v>
      </c>
      <c r="J123" s="38" t="s">
        <v>2395</v>
      </c>
      <c r="K123" s="34">
        <f>IFERROR(_xlfn.XLOOKUP(J123,Index!$A:$A,Index!$B:$B),"")</f>
        <v>7971</v>
      </c>
    </row>
    <row r="124" spans="1:11" x14ac:dyDescent="0.25">
      <c r="A124" s="124"/>
      <c r="C124" s="124"/>
      <c r="D124" s="124"/>
      <c r="E124" s="124"/>
      <c r="F124" s="36">
        <v>10</v>
      </c>
      <c r="G124" s="98">
        <v>250</v>
      </c>
      <c r="H124" s="35">
        <v>70</v>
      </c>
      <c r="I124" s="40">
        <v>32</v>
      </c>
      <c r="J124" s="38" t="s">
        <v>2396</v>
      </c>
      <c r="K124" s="34">
        <f>IFERROR(_xlfn.XLOOKUP(J124,Index!$A:$A,Index!$B:$B),"")</f>
        <v>11777</v>
      </c>
    </row>
    <row r="125" spans="1:11" x14ac:dyDescent="0.25">
      <c r="A125" s="139"/>
      <c r="B125" s="120"/>
      <c r="C125" s="120"/>
      <c r="D125" s="120"/>
      <c r="E125" s="120"/>
      <c r="F125" s="36">
        <v>12</v>
      </c>
      <c r="G125" s="98">
        <v>300</v>
      </c>
      <c r="H125" s="35">
        <v>108</v>
      </c>
      <c r="I125" s="40">
        <v>49</v>
      </c>
      <c r="J125" s="38" t="s">
        <v>5542</v>
      </c>
      <c r="K125" s="34">
        <f>K124+5136</f>
        <v>16913</v>
      </c>
    </row>
    <row r="128" spans="1:11" ht="15.75" x14ac:dyDescent="0.25">
      <c r="A128" s="62" t="s">
        <v>2397</v>
      </c>
      <c r="B128" s="62" t="s">
        <v>174</v>
      </c>
      <c r="C128" s="14"/>
      <c r="D128" s="14"/>
      <c r="E128" s="14"/>
      <c r="F128" s="3"/>
      <c r="G128" s="8"/>
      <c r="H128" s="110"/>
      <c r="I128" s="111"/>
      <c r="J128" s="19"/>
      <c r="K128" s="19"/>
    </row>
    <row r="129" spans="1:11" ht="15.75" x14ac:dyDescent="0.25">
      <c r="A129" s="48" t="s">
        <v>2342</v>
      </c>
      <c r="B129" s="11"/>
      <c r="C129" s="4"/>
      <c r="D129" s="4"/>
      <c r="E129" s="4"/>
      <c r="F129" s="4"/>
      <c r="G129" s="5"/>
      <c r="H129" s="110"/>
      <c r="I129" s="4"/>
      <c r="J129" s="19"/>
      <c r="K129" s="19"/>
    </row>
    <row r="130" spans="1:11" x14ac:dyDescent="0.25">
      <c r="A130" s="102" t="s">
        <v>35</v>
      </c>
      <c r="B130" s="140" t="s">
        <v>1880</v>
      </c>
      <c r="C130" s="344" t="s">
        <v>2291</v>
      </c>
      <c r="D130" s="345"/>
      <c r="E130" s="346"/>
      <c r="F130" s="337" t="s">
        <v>38</v>
      </c>
      <c r="G130" s="336"/>
      <c r="H130" s="335" t="s">
        <v>39</v>
      </c>
      <c r="I130" s="336"/>
      <c r="J130" s="42" t="s">
        <v>40</v>
      </c>
      <c r="K130" s="24" t="s">
        <v>41</v>
      </c>
    </row>
    <row r="131" spans="1:11" x14ac:dyDescent="0.25">
      <c r="A131" s="32"/>
      <c r="B131" s="129"/>
      <c r="C131" s="129" t="s">
        <v>2292</v>
      </c>
      <c r="D131" s="130" t="s">
        <v>2293</v>
      </c>
      <c r="E131" s="130" t="s">
        <v>2294</v>
      </c>
      <c r="F131" s="33" t="s">
        <v>44</v>
      </c>
      <c r="G131" s="33" t="s">
        <v>45</v>
      </c>
      <c r="H131" s="33" t="s">
        <v>46</v>
      </c>
      <c r="I131" s="39" t="s">
        <v>47</v>
      </c>
      <c r="J131" s="33"/>
      <c r="K131" s="41"/>
    </row>
    <row r="132" spans="1:11" x14ac:dyDescent="0.25">
      <c r="A132" s="60" t="s">
        <v>2398</v>
      </c>
      <c r="B132" s="60" t="s">
        <v>2344</v>
      </c>
      <c r="C132" s="92" t="s">
        <v>2296</v>
      </c>
      <c r="D132" s="89" t="s">
        <v>2297</v>
      </c>
      <c r="E132" s="89" t="s">
        <v>2296</v>
      </c>
      <c r="F132" s="64">
        <v>2</v>
      </c>
      <c r="G132" s="98">
        <v>50</v>
      </c>
      <c r="H132" s="35">
        <v>6</v>
      </c>
      <c r="I132" s="40">
        <v>2.7</v>
      </c>
      <c r="J132" s="38" t="s">
        <v>2399</v>
      </c>
      <c r="K132" s="34">
        <f>IFERROR(_xlfn.XLOOKUP(J132,Index!$A:$A,Index!$B:$B),"")</f>
        <v>645</v>
      </c>
    </row>
    <row r="133" spans="1:11" x14ac:dyDescent="0.25">
      <c r="A133" s="26"/>
      <c r="B133" s="26"/>
      <c r="C133" s="26"/>
      <c r="D133" s="30"/>
      <c r="E133" s="30"/>
      <c r="F133" s="64" t="s">
        <v>231</v>
      </c>
      <c r="G133" s="98">
        <v>65</v>
      </c>
      <c r="H133" s="35">
        <v>8</v>
      </c>
      <c r="I133" s="40">
        <v>3.6</v>
      </c>
      <c r="J133" s="38" t="s">
        <v>2400</v>
      </c>
      <c r="K133" s="34">
        <f>IFERROR(_xlfn.XLOOKUP(J133,Index!$A:$A,Index!$B:$B),"")</f>
        <v>884</v>
      </c>
    </row>
    <row r="134" spans="1:11" x14ac:dyDescent="0.25">
      <c r="A134" s="26"/>
      <c r="B134" s="26"/>
      <c r="C134" s="26"/>
      <c r="D134" s="30"/>
      <c r="E134" s="30"/>
      <c r="F134" s="36">
        <v>3</v>
      </c>
      <c r="G134" s="98">
        <v>80</v>
      </c>
      <c r="H134" s="35">
        <v>12</v>
      </c>
      <c r="I134" s="40">
        <v>5.4</v>
      </c>
      <c r="J134" s="38" t="s">
        <v>2401</v>
      </c>
      <c r="K134" s="34">
        <f>IFERROR(_xlfn.XLOOKUP(J134,Index!$A:$A,Index!$B:$B),"")</f>
        <v>896</v>
      </c>
    </row>
    <row r="135" spans="1:11" x14ac:dyDescent="0.25">
      <c r="A135" s="124"/>
      <c r="B135" s="124"/>
      <c r="C135" s="124"/>
      <c r="D135" s="124"/>
      <c r="E135" s="124"/>
      <c r="F135" s="36">
        <v>4</v>
      </c>
      <c r="G135" s="98">
        <v>100</v>
      </c>
      <c r="H135" s="35">
        <v>17</v>
      </c>
      <c r="I135" s="40">
        <v>7.7</v>
      </c>
      <c r="J135" s="38" t="s">
        <v>2402</v>
      </c>
      <c r="K135" s="34">
        <f>IFERROR(_xlfn.XLOOKUP(J135,Index!$A:$A,Index!$B:$B),"")</f>
        <v>1151</v>
      </c>
    </row>
    <row r="136" spans="1:11" x14ac:dyDescent="0.25">
      <c r="A136" s="124"/>
      <c r="B136" s="124"/>
      <c r="C136" s="124"/>
      <c r="D136" s="124"/>
      <c r="E136" s="124"/>
      <c r="F136" s="36">
        <v>5</v>
      </c>
      <c r="G136" s="98">
        <v>125</v>
      </c>
      <c r="H136" s="35">
        <v>28</v>
      </c>
      <c r="I136" s="40">
        <v>12.7</v>
      </c>
      <c r="J136" s="38" t="s">
        <v>2403</v>
      </c>
      <c r="K136" s="34">
        <f>IFERROR(_xlfn.XLOOKUP(J136,Index!$A:$A,Index!$B:$B),"")</f>
        <v>1803</v>
      </c>
    </row>
    <row r="137" spans="1:11" x14ac:dyDescent="0.25">
      <c r="A137" s="124"/>
      <c r="B137" s="124"/>
      <c r="C137" s="124"/>
      <c r="D137" s="124"/>
      <c r="E137" s="124"/>
      <c r="F137" s="36">
        <v>6</v>
      </c>
      <c r="G137" s="98">
        <v>150</v>
      </c>
      <c r="H137" s="35">
        <v>35</v>
      </c>
      <c r="I137" s="40">
        <v>16</v>
      </c>
      <c r="J137" s="38" t="s">
        <v>2404</v>
      </c>
      <c r="K137" s="34">
        <f>IFERROR(_xlfn.XLOOKUP(J137,Index!$A:$A,Index!$B:$B),"")</f>
        <v>1866</v>
      </c>
    </row>
    <row r="138" spans="1:11" x14ac:dyDescent="0.25">
      <c r="A138" s="124"/>
      <c r="B138" s="124"/>
      <c r="C138" s="124"/>
      <c r="D138" s="124"/>
      <c r="E138" s="124"/>
      <c r="F138" s="36">
        <v>8</v>
      </c>
      <c r="G138" s="98">
        <v>200</v>
      </c>
      <c r="H138" s="35">
        <v>73</v>
      </c>
      <c r="I138" s="40">
        <v>33</v>
      </c>
      <c r="J138" s="38" t="s">
        <v>2405</v>
      </c>
      <c r="K138" s="34">
        <f>IFERROR(_xlfn.XLOOKUP(J138,Index!$A:$A,Index!$B:$B),"")</f>
        <v>2802</v>
      </c>
    </row>
    <row r="139" spans="1:11" x14ac:dyDescent="0.25">
      <c r="A139" s="124"/>
      <c r="B139" s="124"/>
      <c r="C139" s="124"/>
      <c r="D139" s="124"/>
      <c r="E139" s="124"/>
      <c r="F139" s="36">
        <v>10</v>
      </c>
      <c r="G139" s="98">
        <v>250</v>
      </c>
      <c r="H139" s="35">
        <v>130</v>
      </c>
      <c r="I139" s="40">
        <v>59</v>
      </c>
      <c r="J139" s="38" t="s">
        <v>2406</v>
      </c>
      <c r="K139" s="34">
        <f>IFERROR(_xlfn.XLOOKUP(J139,Index!$A:$A,Index!$B:$B),"")</f>
        <v>4101</v>
      </c>
    </row>
    <row r="140" spans="1:11" x14ac:dyDescent="0.25">
      <c r="A140" s="124"/>
      <c r="B140" s="124"/>
      <c r="C140" s="124"/>
      <c r="D140" s="124"/>
      <c r="E140" s="124"/>
      <c r="F140" s="36">
        <v>12</v>
      </c>
      <c r="G140" s="98">
        <v>300</v>
      </c>
      <c r="H140" s="35">
        <v>171</v>
      </c>
      <c r="I140" s="40">
        <v>78</v>
      </c>
      <c r="J140" s="38" t="s">
        <v>2407</v>
      </c>
      <c r="K140" s="34">
        <f>IFERROR(_xlfn.XLOOKUP(J140,Index!$A:$A,Index!$B:$B),"")</f>
        <v>6584</v>
      </c>
    </row>
    <row r="141" spans="1:11" x14ac:dyDescent="0.25">
      <c r="A141" s="124"/>
      <c r="B141" s="124"/>
      <c r="C141" s="124"/>
      <c r="D141" s="124"/>
      <c r="E141" s="124"/>
      <c r="F141" s="36">
        <v>14</v>
      </c>
      <c r="G141" s="98">
        <v>350</v>
      </c>
      <c r="H141" s="35">
        <v>228</v>
      </c>
      <c r="I141" s="40">
        <v>103</v>
      </c>
      <c r="J141" s="38" t="s">
        <v>2408</v>
      </c>
      <c r="K141" s="34">
        <f>IFERROR(_xlfn.XLOOKUP(J141,Index!$A:$A,Index!$B:$B),"")</f>
        <v>10541</v>
      </c>
    </row>
    <row r="142" spans="1:11" x14ac:dyDescent="0.25">
      <c r="A142" s="124"/>
      <c r="B142" s="124"/>
      <c r="C142" s="124"/>
      <c r="D142" s="124"/>
      <c r="E142" s="124"/>
      <c r="F142" s="36">
        <v>16</v>
      </c>
      <c r="G142" s="98">
        <v>400</v>
      </c>
      <c r="H142" s="35">
        <v>315</v>
      </c>
      <c r="I142" s="40">
        <v>143</v>
      </c>
      <c r="J142" s="38" t="s">
        <v>2409</v>
      </c>
      <c r="K142" s="34">
        <f>IFERROR(_xlfn.XLOOKUP(J142,Index!$A:$A,Index!$B:$B),"")</f>
        <v>14823</v>
      </c>
    </row>
    <row r="143" spans="1:11" x14ac:dyDescent="0.25">
      <c r="A143" s="60" t="s">
        <v>2410</v>
      </c>
      <c r="B143" s="60" t="s">
        <v>2361</v>
      </c>
      <c r="C143" s="92" t="s">
        <v>2296</v>
      </c>
      <c r="D143" s="89" t="s">
        <v>2297</v>
      </c>
      <c r="E143" s="89" t="s">
        <v>2296</v>
      </c>
      <c r="F143" s="64">
        <v>2</v>
      </c>
      <c r="G143" s="98">
        <v>50</v>
      </c>
      <c r="H143" s="35">
        <v>6</v>
      </c>
      <c r="I143" s="40">
        <v>2.7</v>
      </c>
      <c r="J143" s="38" t="s">
        <v>2411</v>
      </c>
      <c r="K143" s="34">
        <f>IFERROR(_xlfn.XLOOKUP(J143,Index!$A:$A,Index!$B:$B),"")</f>
        <v>1493</v>
      </c>
    </row>
    <row r="144" spans="1:11" x14ac:dyDescent="0.25">
      <c r="A144" s="26"/>
      <c r="B144" s="26"/>
      <c r="C144" s="26"/>
      <c r="D144" s="30"/>
      <c r="E144" s="30"/>
      <c r="F144" s="64" t="s">
        <v>231</v>
      </c>
      <c r="G144" s="98">
        <v>65</v>
      </c>
      <c r="H144" s="35">
        <v>8</v>
      </c>
      <c r="I144" s="40">
        <v>3.6</v>
      </c>
      <c r="J144" s="38" t="s">
        <v>2412</v>
      </c>
      <c r="K144" s="34">
        <f>IFERROR(_xlfn.XLOOKUP(J144,Index!$A:$A,Index!$B:$B),"")</f>
        <v>1652</v>
      </c>
    </row>
    <row r="145" spans="1:11" x14ac:dyDescent="0.25">
      <c r="A145" s="26"/>
      <c r="B145" s="26"/>
      <c r="C145" s="26"/>
      <c r="D145" s="30"/>
      <c r="E145" s="30"/>
      <c r="F145" s="36">
        <v>3</v>
      </c>
      <c r="G145" s="98">
        <v>80</v>
      </c>
      <c r="H145" s="35">
        <v>12</v>
      </c>
      <c r="I145" s="40">
        <v>5.4</v>
      </c>
      <c r="J145" s="38" t="s">
        <v>2413</v>
      </c>
      <c r="K145" s="34">
        <f>IFERROR(_xlfn.XLOOKUP(J145,Index!$A:$A,Index!$B:$B),"")</f>
        <v>1989</v>
      </c>
    </row>
    <row r="146" spans="1:11" x14ac:dyDescent="0.25">
      <c r="A146" s="124"/>
      <c r="B146" s="124"/>
      <c r="C146" s="124"/>
      <c r="D146" s="124"/>
      <c r="E146" s="124"/>
      <c r="F146" s="36">
        <v>4</v>
      </c>
      <c r="G146" s="98">
        <v>100</v>
      </c>
      <c r="H146" s="35">
        <v>17</v>
      </c>
      <c r="I146" s="40">
        <v>7.7</v>
      </c>
      <c r="J146" s="38" t="s">
        <v>2414</v>
      </c>
      <c r="K146" s="34">
        <f>IFERROR(_xlfn.XLOOKUP(J146,Index!$A:$A,Index!$B:$B),"")</f>
        <v>2110</v>
      </c>
    </row>
    <row r="147" spans="1:11" x14ac:dyDescent="0.25">
      <c r="A147" s="124"/>
      <c r="B147" s="124"/>
      <c r="C147" s="124"/>
      <c r="D147" s="124"/>
      <c r="E147" s="124"/>
      <c r="F147" s="36">
        <v>6</v>
      </c>
      <c r="G147" s="98">
        <v>150</v>
      </c>
      <c r="H147" s="35">
        <v>35</v>
      </c>
      <c r="I147" s="40">
        <v>16</v>
      </c>
      <c r="J147" s="38" t="s">
        <v>2415</v>
      </c>
      <c r="K147" s="34">
        <f>IFERROR(_xlfn.XLOOKUP(J147,Index!$A:$A,Index!$B:$B),"")</f>
        <v>3569</v>
      </c>
    </row>
    <row r="148" spans="1:11" x14ac:dyDescent="0.25">
      <c r="A148" s="124"/>
      <c r="B148" s="124"/>
      <c r="C148" s="124"/>
      <c r="D148" s="124"/>
      <c r="E148" s="124"/>
      <c r="F148" s="36">
        <v>8</v>
      </c>
      <c r="G148" s="98">
        <v>200</v>
      </c>
      <c r="H148" s="35">
        <v>73</v>
      </c>
      <c r="I148" s="40">
        <v>33</v>
      </c>
      <c r="J148" s="38" t="s">
        <v>2416</v>
      </c>
      <c r="K148" s="34">
        <f>IFERROR(_xlfn.XLOOKUP(J148,Index!$A:$A,Index!$B:$B),"")</f>
        <v>6202</v>
      </c>
    </row>
    <row r="149" spans="1:11" x14ac:dyDescent="0.25">
      <c r="A149" s="124"/>
      <c r="B149" s="124"/>
      <c r="C149" s="124"/>
      <c r="D149" s="124"/>
      <c r="E149" s="124"/>
      <c r="F149" s="36">
        <v>10</v>
      </c>
      <c r="G149" s="98">
        <v>250</v>
      </c>
      <c r="H149" s="35">
        <v>130</v>
      </c>
      <c r="I149" s="40">
        <v>59</v>
      </c>
      <c r="J149" s="38" t="s">
        <v>2417</v>
      </c>
      <c r="K149" s="34">
        <f>IFERROR(_xlfn.XLOOKUP(J149,Index!$A:$A,Index!$B:$B),"")</f>
        <v>7269</v>
      </c>
    </row>
    <row r="150" spans="1:11" x14ac:dyDescent="0.25">
      <c r="A150" s="124"/>
      <c r="B150" s="124"/>
      <c r="C150" s="124"/>
      <c r="D150" s="124"/>
      <c r="E150" s="124"/>
      <c r="F150" s="36">
        <v>12</v>
      </c>
      <c r="G150" s="98">
        <v>300</v>
      </c>
      <c r="H150" s="35">
        <v>171</v>
      </c>
      <c r="I150" s="40">
        <v>78</v>
      </c>
      <c r="J150" s="38" t="s">
        <v>2418</v>
      </c>
      <c r="K150" s="34">
        <f>IFERROR(_xlfn.XLOOKUP(J150,Index!$A:$A,Index!$B:$B),"")</f>
        <v>9830</v>
      </c>
    </row>
    <row r="151" spans="1:11" x14ac:dyDescent="0.25">
      <c r="A151" s="124"/>
      <c r="B151" s="124"/>
      <c r="C151" s="124"/>
      <c r="D151" s="124"/>
      <c r="E151" s="124"/>
      <c r="F151" s="36">
        <v>14</v>
      </c>
      <c r="G151" s="98">
        <v>350</v>
      </c>
      <c r="H151" s="35">
        <v>228</v>
      </c>
      <c r="I151" s="40">
        <v>103</v>
      </c>
      <c r="J151" s="38" t="s">
        <v>2419</v>
      </c>
      <c r="K151" s="34">
        <f>IFERROR(_xlfn.XLOOKUP(J151,Index!$A:$A,Index!$B:$B),"")</f>
        <v>15944</v>
      </c>
    </row>
    <row r="152" spans="1:11" x14ac:dyDescent="0.25">
      <c r="A152" s="124"/>
      <c r="B152" s="124"/>
      <c r="C152" s="124"/>
      <c r="D152" s="124"/>
      <c r="E152" s="124"/>
      <c r="F152" s="36">
        <v>16</v>
      </c>
      <c r="G152" s="98">
        <v>400</v>
      </c>
      <c r="H152" s="35">
        <v>315</v>
      </c>
      <c r="I152" s="40">
        <v>143</v>
      </c>
      <c r="J152" s="38" t="s">
        <v>2420</v>
      </c>
      <c r="K152" s="34">
        <f>IFERROR(_xlfn.XLOOKUP(J152,Index!$A:$A,Index!$B:$B),"")</f>
        <v>25497</v>
      </c>
    </row>
    <row r="153" spans="1:11" x14ac:dyDescent="0.25">
      <c r="A153" s="60" t="s">
        <v>2421</v>
      </c>
      <c r="B153" s="60" t="s">
        <v>2379</v>
      </c>
      <c r="C153" s="92" t="s">
        <v>2296</v>
      </c>
      <c r="D153" s="89" t="s">
        <v>2297</v>
      </c>
      <c r="E153" s="89" t="s">
        <v>2296</v>
      </c>
      <c r="F153" s="64">
        <v>2</v>
      </c>
      <c r="G153" s="98">
        <v>50</v>
      </c>
      <c r="H153" s="35">
        <v>6</v>
      </c>
      <c r="I153" s="40">
        <v>2.7</v>
      </c>
      <c r="J153" s="38" t="s">
        <v>2422</v>
      </c>
      <c r="K153" s="34">
        <f>IFERROR(_xlfn.XLOOKUP(J153,Index!$A:$A,Index!$B:$B),"")</f>
        <v>1581</v>
      </c>
    </row>
    <row r="154" spans="1:11" x14ac:dyDescent="0.25">
      <c r="A154" s="26"/>
      <c r="C154" s="26"/>
      <c r="D154" s="30"/>
      <c r="E154" s="30"/>
      <c r="F154" s="64" t="s">
        <v>231</v>
      </c>
      <c r="G154" s="98">
        <v>65</v>
      </c>
      <c r="H154" s="35">
        <v>8</v>
      </c>
      <c r="I154" s="40">
        <v>3.6</v>
      </c>
      <c r="J154" s="38" t="s">
        <v>2423</v>
      </c>
      <c r="K154" s="34">
        <f>IFERROR(_xlfn.XLOOKUP(J154,Index!$A:$A,Index!$B:$B),"")</f>
        <v>1816</v>
      </c>
    </row>
    <row r="155" spans="1:11" x14ac:dyDescent="0.25">
      <c r="A155" s="26"/>
      <c r="C155" s="26"/>
      <c r="D155" s="30"/>
      <c r="E155" s="30"/>
      <c r="F155" s="36">
        <v>3</v>
      </c>
      <c r="G155" s="98">
        <v>80</v>
      </c>
      <c r="H155" s="35">
        <v>12</v>
      </c>
      <c r="I155" s="40">
        <v>5.4</v>
      </c>
      <c r="J155" s="38" t="s">
        <v>2424</v>
      </c>
      <c r="K155" s="34">
        <f>IFERROR(_xlfn.XLOOKUP(J155,Index!$A:$A,Index!$B:$B),"")</f>
        <v>2295</v>
      </c>
    </row>
    <row r="156" spans="1:11" x14ac:dyDescent="0.25">
      <c r="A156" s="124"/>
      <c r="C156" s="124"/>
      <c r="D156" s="124"/>
      <c r="E156" s="124"/>
      <c r="F156" s="36">
        <v>4</v>
      </c>
      <c r="G156" s="98">
        <v>100</v>
      </c>
      <c r="H156" s="35">
        <v>17</v>
      </c>
      <c r="I156" s="40">
        <v>7.7</v>
      </c>
      <c r="J156" s="38" t="s">
        <v>2425</v>
      </c>
      <c r="K156" s="34">
        <f>IFERROR(_xlfn.XLOOKUP(J156,Index!$A:$A,Index!$B:$B),"")</f>
        <v>2309</v>
      </c>
    </row>
    <row r="157" spans="1:11" x14ac:dyDescent="0.25">
      <c r="A157" s="124"/>
      <c r="C157" s="124"/>
      <c r="D157" s="124"/>
      <c r="E157" s="124"/>
      <c r="F157" s="36">
        <v>6</v>
      </c>
      <c r="G157" s="98">
        <v>150</v>
      </c>
      <c r="H157" s="35">
        <v>35</v>
      </c>
      <c r="I157" s="40">
        <v>16</v>
      </c>
      <c r="J157" s="38" t="s">
        <v>2426</v>
      </c>
      <c r="K157" s="34">
        <f>IFERROR(_xlfn.XLOOKUP(J157,Index!$A:$A,Index!$B:$B),"")</f>
        <v>4984</v>
      </c>
    </row>
    <row r="158" spans="1:11" x14ac:dyDescent="0.25">
      <c r="A158" s="124"/>
      <c r="C158" s="124"/>
      <c r="D158" s="124"/>
      <c r="E158" s="124"/>
      <c r="F158" s="36">
        <v>8</v>
      </c>
      <c r="G158" s="98">
        <v>200</v>
      </c>
      <c r="H158" s="35">
        <v>73</v>
      </c>
      <c r="I158" s="40">
        <v>33</v>
      </c>
      <c r="J158" s="38" t="s">
        <v>2427</v>
      </c>
      <c r="K158" s="34">
        <f>IFERROR(_xlfn.XLOOKUP(J158,Index!$A:$A,Index!$B:$B),"")</f>
        <v>8769</v>
      </c>
    </row>
    <row r="159" spans="1:11" x14ac:dyDescent="0.25">
      <c r="A159" s="124"/>
      <c r="C159" s="124"/>
      <c r="D159" s="124"/>
      <c r="E159" s="124"/>
      <c r="F159" s="36">
        <v>10</v>
      </c>
      <c r="G159" s="98">
        <v>250</v>
      </c>
      <c r="H159" s="35">
        <v>130</v>
      </c>
      <c r="I159" s="40">
        <v>59</v>
      </c>
      <c r="J159" s="38" t="s">
        <v>2428</v>
      </c>
      <c r="K159" s="34">
        <f>IFERROR(_xlfn.XLOOKUP(J159,Index!$A:$A,Index!$B:$B),"")</f>
        <v>12817</v>
      </c>
    </row>
    <row r="160" spans="1:11" x14ac:dyDescent="0.25">
      <c r="A160" s="124"/>
      <c r="C160" s="124"/>
      <c r="D160" s="124"/>
      <c r="E160" s="124"/>
      <c r="F160" s="36">
        <v>12</v>
      </c>
      <c r="G160" s="98">
        <v>300</v>
      </c>
      <c r="H160" s="35">
        <v>171</v>
      </c>
      <c r="I160" s="40">
        <v>78</v>
      </c>
      <c r="J160" s="38" t="s">
        <v>2429</v>
      </c>
      <c r="K160" s="34">
        <f>IFERROR(_xlfn.XLOOKUP(J160,Index!$A:$A,Index!$B:$B),"")</f>
        <v>16352</v>
      </c>
    </row>
    <row r="161" spans="1:11" x14ac:dyDescent="0.25">
      <c r="A161" s="60" t="s">
        <v>2430</v>
      </c>
      <c r="B161" s="60" t="s">
        <v>2379</v>
      </c>
      <c r="C161" s="92" t="s">
        <v>2296</v>
      </c>
      <c r="D161" s="89" t="s">
        <v>2297</v>
      </c>
      <c r="E161" s="89" t="s">
        <v>2314</v>
      </c>
      <c r="F161" s="64">
        <v>2</v>
      </c>
      <c r="G161" s="98">
        <v>50</v>
      </c>
      <c r="H161" s="35">
        <v>4</v>
      </c>
      <c r="I161" s="40">
        <v>1.8</v>
      </c>
      <c r="J161" s="38" t="s">
        <v>2431</v>
      </c>
      <c r="K161" s="34">
        <f>IFERROR(_xlfn.XLOOKUP(J161,Index!$A:$A,Index!$B:$B),"")</f>
        <v>1942</v>
      </c>
    </row>
    <row r="162" spans="1:11" x14ac:dyDescent="0.25">
      <c r="A162" s="124"/>
      <c r="C162" s="124"/>
      <c r="D162" s="124"/>
      <c r="E162" s="124"/>
      <c r="F162" s="64" t="s">
        <v>231</v>
      </c>
      <c r="G162" s="98">
        <v>65</v>
      </c>
      <c r="H162" s="35">
        <v>6</v>
      </c>
      <c r="I162" s="40">
        <v>2.7</v>
      </c>
      <c r="J162" s="38" t="s">
        <v>5542</v>
      </c>
      <c r="K162" s="34">
        <f>K155</f>
        <v>2295</v>
      </c>
    </row>
    <row r="163" spans="1:11" x14ac:dyDescent="0.25">
      <c r="A163" s="124"/>
      <c r="C163" s="124"/>
      <c r="D163" s="124"/>
      <c r="E163" s="124"/>
      <c r="F163" s="36">
        <v>3</v>
      </c>
      <c r="G163" s="98">
        <v>80</v>
      </c>
      <c r="H163" s="35">
        <v>8</v>
      </c>
      <c r="I163" s="40">
        <v>3.6</v>
      </c>
      <c r="J163" s="38" t="s">
        <v>2432</v>
      </c>
      <c r="K163" s="34">
        <f>IFERROR(_xlfn.XLOOKUP(J163,Index!$A:$A,Index!$B:$B),"")</f>
        <v>3205</v>
      </c>
    </row>
    <row r="164" spans="1:11" x14ac:dyDescent="0.25">
      <c r="A164" s="124"/>
      <c r="C164" s="124"/>
      <c r="D164" s="124"/>
      <c r="E164" s="124"/>
      <c r="F164" s="36">
        <v>4</v>
      </c>
      <c r="G164" s="98">
        <v>100</v>
      </c>
      <c r="H164" s="35">
        <v>14</v>
      </c>
      <c r="I164" s="40">
        <v>6.4</v>
      </c>
      <c r="J164" s="38" t="s">
        <v>2433</v>
      </c>
      <c r="K164" s="34">
        <f>IFERROR(_xlfn.XLOOKUP(J164,Index!$A:$A,Index!$B:$B),"")</f>
        <v>3110</v>
      </c>
    </row>
    <row r="165" spans="1:11" x14ac:dyDescent="0.25">
      <c r="A165" s="124"/>
      <c r="C165" s="124"/>
      <c r="D165" s="124"/>
      <c r="E165" s="124"/>
      <c r="F165" s="36">
        <v>6</v>
      </c>
      <c r="G165" s="98">
        <v>150</v>
      </c>
      <c r="H165" s="35">
        <v>27</v>
      </c>
      <c r="I165" s="40">
        <v>12.2</v>
      </c>
      <c r="J165" s="38" t="s">
        <v>2434</v>
      </c>
      <c r="K165" s="34">
        <f>IFERROR(_xlfn.XLOOKUP(J165,Index!$A:$A,Index!$B:$B),"")</f>
        <v>8102</v>
      </c>
    </row>
    <row r="166" spans="1:11" x14ac:dyDescent="0.25">
      <c r="A166" s="124"/>
      <c r="C166" s="124"/>
      <c r="D166" s="124"/>
      <c r="E166" s="124"/>
      <c r="F166" s="36">
        <v>8</v>
      </c>
      <c r="G166" s="98">
        <v>200</v>
      </c>
      <c r="H166" s="35">
        <v>50</v>
      </c>
      <c r="I166" s="40">
        <v>23</v>
      </c>
      <c r="J166" s="38" t="s">
        <v>5542</v>
      </c>
      <c r="K166" s="34">
        <f>K159+243</f>
        <v>13060</v>
      </c>
    </row>
    <row r="167" spans="1:11" x14ac:dyDescent="0.25">
      <c r="A167" s="124"/>
      <c r="C167" s="124"/>
      <c r="D167" s="124"/>
      <c r="E167" s="124"/>
      <c r="F167" s="36">
        <v>10</v>
      </c>
      <c r="G167" s="98">
        <v>250</v>
      </c>
      <c r="H167" s="35">
        <v>70</v>
      </c>
      <c r="I167" s="40">
        <v>32</v>
      </c>
      <c r="J167" s="38" t="s">
        <v>5542</v>
      </c>
      <c r="K167" s="34">
        <f>K168-1576</f>
        <v>23218</v>
      </c>
    </row>
    <row r="168" spans="1:11" x14ac:dyDescent="0.25">
      <c r="A168" s="120"/>
      <c r="B168" s="120"/>
      <c r="C168" s="120"/>
      <c r="D168" s="120"/>
      <c r="E168" s="120"/>
      <c r="F168" s="36">
        <v>12</v>
      </c>
      <c r="G168" s="98">
        <v>300</v>
      </c>
      <c r="H168" s="35">
        <v>108</v>
      </c>
      <c r="I168" s="40">
        <v>49</v>
      </c>
      <c r="J168" s="38" t="s">
        <v>2885</v>
      </c>
      <c r="K168" s="34">
        <f>IFERROR(_xlfn.XLOOKUP(J168,Index!$A:$A,Index!$B:$B),"")</f>
        <v>24794</v>
      </c>
    </row>
    <row r="170" spans="1:11" ht="15.75" x14ac:dyDescent="0.25">
      <c r="A170" s="62" t="s">
        <v>2435</v>
      </c>
      <c r="B170" s="62" t="s">
        <v>174</v>
      </c>
      <c r="C170" s="14"/>
      <c r="D170" s="14"/>
      <c r="E170" s="14"/>
      <c r="F170" s="3"/>
      <c r="G170" s="8"/>
      <c r="H170" s="110"/>
      <c r="I170" s="111"/>
      <c r="J170" s="19"/>
      <c r="K170" s="19"/>
    </row>
    <row r="171" spans="1:11" ht="15.75" x14ac:dyDescent="0.25">
      <c r="A171" s="48" t="s">
        <v>2276</v>
      </c>
      <c r="B171" s="11"/>
      <c r="C171" s="4"/>
      <c r="D171" s="4"/>
      <c r="E171" s="4"/>
      <c r="F171" s="4"/>
      <c r="G171" s="5"/>
      <c r="H171" s="110"/>
      <c r="I171" s="4"/>
      <c r="J171" s="19"/>
      <c r="K171" s="19"/>
    </row>
    <row r="172" spans="1:11" ht="24" x14ac:dyDescent="0.25">
      <c r="A172" s="102" t="s">
        <v>35</v>
      </c>
      <c r="B172" s="344" t="s">
        <v>2291</v>
      </c>
      <c r="C172" s="345"/>
      <c r="D172" s="345"/>
      <c r="E172" s="335" t="s">
        <v>38</v>
      </c>
      <c r="F172" s="336"/>
      <c r="G172" s="335" t="s">
        <v>39</v>
      </c>
      <c r="H172" s="336"/>
      <c r="I172" s="42" t="s">
        <v>40</v>
      </c>
      <c r="J172" s="24" t="s">
        <v>41</v>
      </c>
      <c r="K172" s="19"/>
    </row>
    <row r="173" spans="1:11" x14ac:dyDescent="0.25">
      <c r="A173" s="32"/>
      <c r="B173" s="129" t="s">
        <v>2292</v>
      </c>
      <c r="C173" s="130" t="s">
        <v>2293</v>
      </c>
      <c r="D173" s="130" t="s">
        <v>2294</v>
      </c>
      <c r="E173" s="33" t="s">
        <v>44</v>
      </c>
      <c r="F173" s="33" t="s">
        <v>45</v>
      </c>
      <c r="G173" s="33" t="s">
        <v>46</v>
      </c>
      <c r="H173" s="39" t="s">
        <v>47</v>
      </c>
      <c r="I173" s="33"/>
      <c r="J173" s="41"/>
      <c r="K173" s="19"/>
    </row>
    <row r="174" spans="1:11" x14ac:dyDescent="0.25">
      <c r="A174" s="60" t="s">
        <v>2436</v>
      </c>
      <c r="B174" s="92" t="s">
        <v>2296</v>
      </c>
      <c r="C174" s="89" t="s">
        <v>2297</v>
      </c>
      <c r="D174" s="89" t="s">
        <v>1897</v>
      </c>
      <c r="E174" s="64">
        <v>3</v>
      </c>
      <c r="F174" s="98">
        <v>80</v>
      </c>
      <c r="G174" s="35">
        <v>8</v>
      </c>
      <c r="H174" s="40">
        <v>3.6</v>
      </c>
      <c r="I174" s="38" t="s">
        <v>2437</v>
      </c>
      <c r="J174" s="34">
        <f>IFERROR(_xlfn.XLOOKUP(I174,Index!$A:$A,Index!$B:$B),"")</f>
        <v>984</v>
      </c>
      <c r="K174" s="19"/>
    </row>
    <row r="175" spans="1:11" x14ac:dyDescent="0.25">
      <c r="A175" s="26"/>
      <c r="B175" s="26"/>
      <c r="C175" s="30"/>
      <c r="D175" s="30"/>
      <c r="E175" s="64">
        <v>4</v>
      </c>
      <c r="F175" s="98">
        <v>100</v>
      </c>
      <c r="G175" s="35">
        <v>13</v>
      </c>
      <c r="H175" s="40">
        <v>9</v>
      </c>
      <c r="I175" s="38" t="s">
        <v>2438</v>
      </c>
      <c r="J175" s="34">
        <f>IFERROR(_xlfn.XLOOKUP(I175,Index!$A:$A,Index!$B:$B),"")</f>
        <v>1297</v>
      </c>
      <c r="K175" s="19"/>
    </row>
    <row r="176" spans="1:11" x14ac:dyDescent="0.25">
      <c r="A176" s="26"/>
      <c r="B176" s="26"/>
      <c r="C176" s="30"/>
      <c r="D176" s="30"/>
      <c r="E176" s="36">
        <v>6</v>
      </c>
      <c r="F176" s="98">
        <v>150</v>
      </c>
      <c r="G176" s="35">
        <v>29</v>
      </c>
      <c r="H176" s="40">
        <v>13</v>
      </c>
      <c r="I176" s="38" t="s">
        <v>2439</v>
      </c>
      <c r="J176" s="34">
        <f>IFERROR(_xlfn.XLOOKUP(I176,Index!$A:$A,Index!$B:$B),"")</f>
        <v>1877</v>
      </c>
      <c r="K176" s="19"/>
    </row>
    <row r="177" spans="1:11" x14ac:dyDescent="0.25">
      <c r="A177" s="124"/>
      <c r="B177" s="124"/>
      <c r="C177" s="124"/>
      <c r="D177" s="124"/>
      <c r="E177" s="36">
        <v>8</v>
      </c>
      <c r="F177" s="98">
        <v>200</v>
      </c>
      <c r="G177" s="35">
        <v>46</v>
      </c>
      <c r="H177" s="40">
        <v>21</v>
      </c>
      <c r="I177" s="38" t="s">
        <v>2440</v>
      </c>
      <c r="J177" s="34">
        <f>IFERROR(_xlfn.XLOOKUP(I177,Index!$A:$A,Index!$B:$B),"")</f>
        <v>2721</v>
      </c>
      <c r="K177" s="19"/>
    </row>
    <row r="178" spans="1:11" x14ac:dyDescent="0.25">
      <c r="A178" s="124"/>
      <c r="B178" s="124"/>
      <c r="C178" s="124"/>
      <c r="D178" s="124"/>
      <c r="E178" s="36">
        <v>10</v>
      </c>
      <c r="F178" s="98">
        <v>250</v>
      </c>
      <c r="G178" s="35">
        <v>66</v>
      </c>
      <c r="H178" s="40">
        <v>30</v>
      </c>
      <c r="I178" s="38" t="s">
        <v>2441</v>
      </c>
      <c r="J178" s="34">
        <f>IFERROR(_xlfn.XLOOKUP(I178,Index!$A:$A,Index!$B:$B),"")</f>
        <v>3537</v>
      </c>
      <c r="K178" s="19"/>
    </row>
    <row r="179" spans="1:11" x14ac:dyDescent="0.25">
      <c r="A179" s="120"/>
      <c r="B179" s="120"/>
      <c r="C179" s="120"/>
      <c r="D179" s="120"/>
      <c r="E179" s="36">
        <v>12</v>
      </c>
      <c r="F179" s="98">
        <v>300</v>
      </c>
      <c r="G179" s="35">
        <v>163</v>
      </c>
      <c r="H179" s="40">
        <v>74</v>
      </c>
      <c r="I179" s="38" t="s">
        <v>2442</v>
      </c>
      <c r="J179" s="34">
        <f>IFERROR(_xlfn.XLOOKUP(I179,Index!$A:$A,Index!$B:$B),"")</f>
        <v>5305</v>
      </c>
      <c r="K179" s="19"/>
    </row>
    <row r="180" spans="1:11" x14ac:dyDescent="0.25">
      <c r="E180" s="220"/>
      <c r="F180" s="142"/>
      <c r="G180" s="4"/>
      <c r="H180" s="19"/>
      <c r="I180" s="19"/>
      <c r="J180" s="84"/>
      <c r="K180" s="19"/>
    </row>
    <row r="181" spans="1:11" x14ac:dyDescent="0.25">
      <c r="K181" s="19"/>
    </row>
    <row r="182" spans="1:11" ht="15.75" x14ac:dyDescent="0.25">
      <c r="A182" s="62" t="s">
        <v>2443</v>
      </c>
      <c r="B182" s="63"/>
      <c r="C182" s="14"/>
      <c r="D182" s="14"/>
      <c r="E182" s="14"/>
      <c r="F182" s="3"/>
      <c r="G182" s="8"/>
      <c r="H182" s="110"/>
      <c r="I182" s="111"/>
      <c r="J182" s="19"/>
      <c r="K182" s="19"/>
    </row>
    <row r="183" spans="1:11" ht="15.75" x14ac:dyDescent="0.25">
      <c r="A183" s="48" t="s">
        <v>2444</v>
      </c>
      <c r="B183" s="11"/>
      <c r="C183" s="4"/>
      <c r="D183" s="4"/>
      <c r="E183" s="4"/>
      <c r="F183" s="4"/>
      <c r="G183" s="5"/>
      <c r="H183" s="110"/>
      <c r="I183" s="4"/>
      <c r="J183" s="19"/>
      <c r="K183" s="19"/>
    </row>
    <row r="184" spans="1:11" x14ac:dyDescent="0.25">
      <c r="A184" s="102" t="s">
        <v>35</v>
      </c>
      <c r="B184" s="131" t="s">
        <v>103</v>
      </c>
      <c r="C184" s="337" t="s">
        <v>38</v>
      </c>
      <c r="D184" s="337"/>
      <c r="E184" s="42" t="s">
        <v>40</v>
      </c>
      <c r="F184" s="24" t="s">
        <v>41</v>
      </c>
    </row>
    <row r="185" spans="1:11" x14ac:dyDescent="0.25">
      <c r="A185" s="96"/>
      <c r="B185" s="129"/>
      <c r="C185" s="33" t="s">
        <v>44</v>
      </c>
      <c r="D185" s="33" t="s">
        <v>45</v>
      </c>
      <c r="E185" s="104"/>
      <c r="F185" s="138"/>
    </row>
    <row r="186" spans="1:11" x14ac:dyDescent="0.25">
      <c r="A186" s="60" t="s">
        <v>2445</v>
      </c>
      <c r="B186" s="135" t="s">
        <v>2446</v>
      </c>
      <c r="C186" s="64">
        <v>2</v>
      </c>
      <c r="D186" s="98">
        <v>50</v>
      </c>
      <c r="E186" s="38" t="s">
        <v>2447</v>
      </c>
      <c r="F186" s="34">
        <f>IFERROR(_xlfn.XLOOKUP(E186,Index!$A:$A,Index!$B:$B),"")</f>
        <v>166.5</v>
      </c>
    </row>
    <row r="187" spans="1:11" x14ac:dyDescent="0.25">
      <c r="A187" s="124"/>
      <c r="B187" s="133"/>
      <c r="C187" s="64" t="s">
        <v>231</v>
      </c>
      <c r="D187" s="98">
        <v>65</v>
      </c>
      <c r="E187" s="38" t="s">
        <v>2448</v>
      </c>
      <c r="F187" s="34">
        <f>IFERROR(_xlfn.XLOOKUP(E187,Index!$A:$A,Index!$B:$B),"")</f>
        <v>166.5</v>
      </c>
    </row>
    <row r="188" spans="1:11" x14ac:dyDescent="0.25">
      <c r="A188" s="124"/>
      <c r="B188" s="133"/>
      <c r="C188" s="36">
        <v>3</v>
      </c>
      <c r="D188" s="98">
        <v>80</v>
      </c>
      <c r="E188" s="38" t="s">
        <v>2449</v>
      </c>
      <c r="F188" s="34">
        <f>IFERROR(_xlfn.XLOOKUP(E188,Index!$A:$A,Index!$B:$B),"")</f>
        <v>166.5</v>
      </c>
    </row>
    <row r="189" spans="1:11" x14ac:dyDescent="0.25">
      <c r="A189" s="124"/>
      <c r="B189" s="133"/>
      <c r="C189" s="36">
        <v>4</v>
      </c>
      <c r="D189" s="98">
        <v>100</v>
      </c>
      <c r="E189" s="38" t="s">
        <v>2450</v>
      </c>
      <c r="F189" s="34">
        <f>IFERROR(_xlfn.XLOOKUP(E189,Index!$A:$A,Index!$B:$B),"")</f>
        <v>166.5</v>
      </c>
    </row>
    <row r="190" spans="1:11" x14ac:dyDescent="0.25">
      <c r="A190" s="124"/>
      <c r="B190" s="133"/>
      <c r="C190" s="36">
        <v>5</v>
      </c>
      <c r="D190" s="98">
        <v>125</v>
      </c>
      <c r="E190" s="38" t="s">
        <v>2451</v>
      </c>
      <c r="F190" s="34">
        <f>IFERROR(_xlfn.XLOOKUP(E190,Index!$A:$A,Index!$B:$B),"")</f>
        <v>250</v>
      </c>
    </row>
    <row r="191" spans="1:11" x14ac:dyDescent="0.25">
      <c r="A191" s="124"/>
      <c r="B191" s="133"/>
      <c r="C191" s="36">
        <v>6</v>
      </c>
      <c r="D191" s="98">
        <v>150</v>
      </c>
      <c r="E191" s="38" t="s">
        <v>2452</v>
      </c>
      <c r="F191" s="34">
        <f>IFERROR(_xlfn.XLOOKUP(E191,Index!$A:$A,Index!$B:$B),"")</f>
        <v>250</v>
      </c>
    </row>
    <row r="192" spans="1:11" x14ac:dyDescent="0.25">
      <c r="A192" s="124"/>
      <c r="B192" s="133"/>
      <c r="C192" s="36">
        <v>8</v>
      </c>
      <c r="D192" s="98">
        <v>200</v>
      </c>
      <c r="E192" s="38" t="s">
        <v>2453</v>
      </c>
      <c r="F192" s="34">
        <f>IFERROR(_xlfn.XLOOKUP(E192,Index!$A:$A,Index!$B:$B),"")</f>
        <v>250</v>
      </c>
    </row>
    <row r="193" spans="1:6" x14ac:dyDescent="0.25">
      <c r="A193" s="124"/>
      <c r="B193" s="133"/>
      <c r="C193" s="36">
        <v>10</v>
      </c>
      <c r="D193" s="98">
        <v>250</v>
      </c>
      <c r="E193" s="38" t="s">
        <v>2454</v>
      </c>
      <c r="F193" s="34">
        <f>IFERROR(_xlfn.XLOOKUP(E193,Index!$A:$A,Index!$B:$B),"")</f>
        <v>416</v>
      </c>
    </row>
    <row r="194" spans="1:6" x14ac:dyDescent="0.25">
      <c r="A194" s="124"/>
      <c r="B194" s="133"/>
      <c r="C194" s="36">
        <v>12</v>
      </c>
      <c r="D194" s="98">
        <v>300</v>
      </c>
      <c r="E194" s="38" t="s">
        <v>2455</v>
      </c>
      <c r="F194" s="34">
        <f>IFERROR(_xlfn.XLOOKUP(E194,Index!$A:$A,Index!$B:$B),"")</f>
        <v>416</v>
      </c>
    </row>
    <row r="195" spans="1:6" x14ac:dyDescent="0.25">
      <c r="A195" s="124"/>
      <c r="B195" s="133"/>
      <c r="C195" s="36">
        <v>14</v>
      </c>
      <c r="D195" s="98">
        <v>350</v>
      </c>
      <c r="E195" s="38" t="s">
        <v>2456</v>
      </c>
      <c r="F195" s="34">
        <f>IFERROR(_xlfn.XLOOKUP(E195,Index!$A:$A,Index!$B:$B),"")</f>
        <v>624</v>
      </c>
    </row>
    <row r="196" spans="1:6" x14ac:dyDescent="0.25">
      <c r="A196" s="124"/>
      <c r="B196" s="133"/>
      <c r="C196" s="36">
        <v>16</v>
      </c>
      <c r="D196" s="98">
        <v>400</v>
      </c>
      <c r="E196" s="38" t="s">
        <v>2456</v>
      </c>
      <c r="F196" s="34">
        <f>IFERROR(_xlfn.XLOOKUP(E196,Index!$A:$A,Index!$B:$B),"")</f>
        <v>624</v>
      </c>
    </row>
    <row r="197" spans="1:6" x14ac:dyDescent="0.25">
      <c r="A197" s="124"/>
      <c r="B197" s="133"/>
      <c r="C197" s="36">
        <v>18</v>
      </c>
      <c r="D197" s="98">
        <v>450</v>
      </c>
      <c r="E197" s="38" t="s">
        <v>2457</v>
      </c>
      <c r="F197" s="34">
        <f>IFERROR(_xlfn.XLOOKUP(E197,Index!$A:$A,Index!$B:$B),"")</f>
        <v>1246</v>
      </c>
    </row>
    <row r="198" spans="1:6" x14ac:dyDescent="0.25">
      <c r="A198" s="124"/>
      <c r="B198" s="133"/>
      <c r="C198" s="36">
        <v>20</v>
      </c>
      <c r="D198" s="98">
        <v>500</v>
      </c>
      <c r="E198" s="38" t="s">
        <v>2458</v>
      </c>
      <c r="F198" s="34">
        <f>IFERROR(_xlfn.XLOOKUP(E198,Index!$A:$A,Index!$B:$B),"")</f>
        <v>1246</v>
      </c>
    </row>
    <row r="199" spans="1:6" x14ac:dyDescent="0.25">
      <c r="A199" s="124"/>
      <c r="B199" s="133"/>
      <c r="C199" s="36">
        <v>24</v>
      </c>
      <c r="D199" s="98">
        <v>600</v>
      </c>
      <c r="E199" s="38" t="s">
        <v>2459</v>
      </c>
      <c r="F199" s="34">
        <f>IFERROR(_xlfn.XLOOKUP(E199,Index!$A:$A,Index!$B:$B),"")</f>
        <v>2078</v>
      </c>
    </row>
    <row r="200" spans="1:6" x14ac:dyDescent="0.25">
      <c r="A200" s="124"/>
      <c r="B200" s="133"/>
      <c r="C200" s="36">
        <v>30</v>
      </c>
      <c r="D200" s="98">
        <v>750</v>
      </c>
      <c r="E200" s="38" t="s">
        <v>2460</v>
      </c>
      <c r="F200" s="34">
        <f>IFERROR(_xlfn.XLOOKUP(E200,Index!$A:$A,Index!$B:$B),"")</f>
        <v>2078</v>
      </c>
    </row>
    <row r="201" spans="1:6" x14ac:dyDescent="0.25">
      <c r="A201" s="124"/>
      <c r="B201" s="135" t="s">
        <v>2461</v>
      </c>
      <c r="C201" s="64">
        <v>2</v>
      </c>
      <c r="D201" s="98">
        <v>50</v>
      </c>
      <c r="E201" s="38" t="s">
        <v>2462</v>
      </c>
      <c r="F201" s="34">
        <f>IFERROR(_xlfn.XLOOKUP(E201,Index!$A:$A,Index!$B:$B),"")</f>
        <v>332.5</v>
      </c>
    </row>
    <row r="202" spans="1:6" x14ac:dyDescent="0.25">
      <c r="A202" s="124"/>
      <c r="B202" s="133"/>
      <c r="C202" s="64" t="s">
        <v>231</v>
      </c>
      <c r="D202" s="98">
        <v>65</v>
      </c>
      <c r="E202" s="38" t="s">
        <v>2463</v>
      </c>
      <c r="F202" s="34">
        <f>IFERROR(_xlfn.XLOOKUP(E202,Index!$A:$A,Index!$B:$B),"")</f>
        <v>332.5</v>
      </c>
    </row>
    <row r="203" spans="1:6" x14ac:dyDescent="0.25">
      <c r="A203" s="124"/>
      <c r="B203" s="133"/>
      <c r="C203" s="36">
        <v>3</v>
      </c>
      <c r="D203" s="98">
        <v>80</v>
      </c>
      <c r="E203" s="38" t="s">
        <v>2464</v>
      </c>
      <c r="F203" s="34">
        <f>IFERROR(_xlfn.XLOOKUP(E203,Index!$A:$A,Index!$B:$B),"")</f>
        <v>582</v>
      </c>
    </row>
    <row r="204" spans="1:6" x14ac:dyDescent="0.25">
      <c r="A204" s="124"/>
      <c r="B204" s="133"/>
      <c r="C204" s="36">
        <v>4</v>
      </c>
      <c r="D204" s="98">
        <v>100</v>
      </c>
      <c r="E204" s="38" t="s">
        <v>2465</v>
      </c>
      <c r="F204" s="34">
        <f>IFERROR(_xlfn.XLOOKUP(E204,Index!$A:$A,Index!$B:$B),"")</f>
        <v>664.5</v>
      </c>
    </row>
    <row r="205" spans="1:6" x14ac:dyDescent="0.25">
      <c r="A205" s="124"/>
      <c r="B205" s="133"/>
      <c r="C205" s="36">
        <v>6</v>
      </c>
      <c r="D205" s="98">
        <v>150</v>
      </c>
      <c r="E205" s="38" t="s">
        <v>2466</v>
      </c>
      <c r="F205" s="34">
        <f>IFERROR(_xlfn.XLOOKUP(E205,Index!$A:$A,Index!$B:$B),"")</f>
        <v>747.5</v>
      </c>
    </row>
    <row r="206" spans="1:6" x14ac:dyDescent="0.25">
      <c r="A206" s="124"/>
      <c r="B206" s="133"/>
      <c r="C206" s="36">
        <v>8</v>
      </c>
      <c r="D206" s="98">
        <v>200</v>
      </c>
      <c r="E206" s="38" t="s">
        <v>2467</v>
      </c>
      <c r="F206" s="34">
        <f>IFERROR(_xlfn.XLOOKUP(E206,Index!$A:$A,Index!$B:$B),"")</f>
        <v>831</v>
      </c>
    </row>
    <row r="207" spans="1:6" x14ac:dyDescent="0.25">
      <c r="A207" s="124"/>
      <c r="B207" s="133"/>
      <c r="C207" s="36">
        <v>10</v>
      </c>
      <c r="D207" s="98">
        <v>250</v>
      </c>
      <c r="E207" s="38" t="s">
        <v>2468</v>
      </c>
      <c r="F207" s="34">
        <f>IFERROR(_xlfn.XLOOKUP(E207,Index!$A:$A,Index!$B:$B),"")</f>
        <v>1080</v>
      </c>
    </row>
    <row r="208" spans="1:6" x14ac:dyDescent="0.25">
      <c r="A208" s="120"/>
      <c r="B208" s="126"/>
      <c r="C208" s="36">
        <v>12</v>
      </c>
      <c r="D208" s="98">
        <v>300</v>
      </c>
      <c r="E208" s="38" t="s">
        <v>2469</v>
      </c>
      <c r="F208" s="34">
        <f>IFERROR(_xlfn.XLOOKUP(E208,Index!$A:$A,Index!$B:$B),"")</f>
        <v>1163</v>
      </c>
    </row>
  </sheetData>
  <mergeCells count="19">
    <mergeCell ref="E4:F4"/>
    <mergeCell ref="B4:D4"/>
    <mergeCell ref="B47:D47"/>
    <mergeCell ref="E47:F47"/>
    <mergeCell ref="G4:H4"/>
    <mergeCell ref="C184:D184"/>
    <mergeCell ref="B172:D172"/>
    <mergeCell ref="E172:F172"/>
    <mergeCell ref="B32:D32"/>
    <mergeCell ref="E32:F32"/>
    <mergeCell ref="F58:G58"/>
    <mergeCell ref="C58:E58"/>
    <mergeCell ref="G32:H32"/>
    <mergeCell ref="G47:H47"/>
    <mergeCell ref="H58:I58"/>
    <mergeCell ref="H130:I130"/>
    <mergeCell ref="F130:G130"/>
    <mergeCell ref="C130:E130"/>
    <mergeCell ref="G172:H172"/>
  </mergeCells>
  <conditionalFormatting sqref="F5:F28 F33:F43 F55 G59:G125 G131:G168 F173:F180 D185:D208">
    <cfRule type="expression" dxfId="299" priority="91">
      <formula>D5="Not a valid item #"</formula>
    </cfRule>
    <cfRule type="expression" dxfId="298" priority="92">
      <formula>D5="Not in NPSLS"</formula>
    </cfRule>
    <cfRule type="expression" dxfId="297" priority="93">
      <formula>D5="Obsolete"</formula>
    </cfRule>
    <cfRule type="expression" dxfId="296" priority="94">
      <formula>D5=""</formula>
    </cfRule>
    <cfRule type="expression" dxfId="295" priority="95">
      <formula>D5="List Price"</formula>
    </cfRule>
  </conditionalFormatting>
  <conditionalFormatting sqref="F48:F53">
    <cfRule type="expression" dxfId="294" priority="111">
      <formula>F48="Not a valid item #"</formula>
    </cfRule>
    <cfRule type="expression" dxfId="293" priority="112">
      <formula>F48="Not in NPSLS"</formula>
    </cfRule>
    <cfRule type="expression" dxfId="292" priority="113">
      <formula>F48="Obsolete"</formula>
    </cfRule>
    <cfRule type="expression" dxfId="291" priority="114">
      <formula>F48=""</formula>
    </cfRule>
    <cfRule type="expression" dxfId="290" priority="115">
      <formula>F48="List Price"</formula>
    </cfRule>
  </conditionalFormatting>
  <conditionalFormatting sqref="H2:H3">
    <cfRule type="expression" dxfId="289" priority="116">
      <formula>H2="Not a valid item #"</formula>
    </cfRule>
    <cfRule type="expression" dxfId="288" priority="117">
      <formula>H2="Not in NPSLS"</formula>
    </cfRule>
    <cfRule type="expression" dxfId="287" priority="118">
      <formula>H2="Obsolete"</formula>
    </cfRule>
    <cfRule type="expression" dxfId="286" priority="119">
      <formula>H2=""</formula>
    </cfRule>
    <cfRule type="expression" dxfId="285" priority="120">
      <formula>H2="List Price"</formula>
    </cfRule>
  </conditionalFormatting>
  <conditionalFormatting sqref="H30:H31">
    <cfRule type="expression" dxfId="284" priority="11">
      <formula>H30="Not a valid item #"</formula>
    </cfRule>
    <cfRule type="expression" dxfId="283" priority="12">
      <formula>H30="Not in NPSLS"</formula>
    </cfRule>
    <cfRule type="expression" dxfId="282" priority="13">
      <formula>H30="Obsolete"</formula>
    </cfRule>
    <cfRule type="expression" dxfId="281" priority="14">
      <formula>H30=""</formula>
    </cfRule>
    <cfRule type="expression" dxfId="280" priority="15">
      <formula>H30="List Price"</formula>
    </cfRule>
  </conditionalFormatting>
  <conditionalFormatting sqref="H45:H46">
    <cfRule type="expression" dxfId="279" priority="106">
      <formula>H45="Not a valid item #"</formula>
    </cfRule>
    <cfRule type="expression" dxfId="278" priority="107">
      <formula>H45="Not in NPSLS"</formula>
    </cfRule>
    <cfRule type="expression" dxfId="277" priority="108">
      <formula>H45="Obsolete"</formula>
    </cfRule>
    <cfRule type="expression" dxfId="276" priority="109">
      <formula>H45=""</formula>
    </cfRule>
    <cfRule type="expression" dxfId="275" priority="110">
      <formula>H45="List Price"</formula>
    </cfRule>
  </conditionalFormatting>
  <conditionalFormatting sqref="H56:H57">
    <cfRule type="expression" dxfId="274" priority="81">
      <formula>H56="Not a valid item #"</formula>
    </cfRule>
    <cfRule type="expression" dxfId="273" priority="82">
      <formula>H56="Not in NPSLS"</formula>
    </cfRule>
    <cfRule type="expression" dxfId="272" priority="83">
      <formula>H56="Obsolete"</formula>
    </cfRule>
    <cfRule type="expression" dxfId="271" priority="84">
      <formula>H56=""</formula>
    </cfRule>
    <cfRule type="expression" dxfId="270" priority="85">
      <formula>H56="List Price"</formula>
    </cfRule>
  </conditionalFormatting>
  <conditionalFormatting sqref="H128:H129">
    <cfRule type="expression" dxfId="269" priority="56">
      <formula>H128="Not a valid item #"</formula>
    </cfRule>
    <cfRule type="expression" dxfId="268" priority="57">
      <formula>H128="Not in NPSLS"</formula>
    </cfRule>
    <cfRule type="expression" dxfId="267" priority="58">
      <formula>H128="Obsolete"</formula>
    </cfRule>
    <cfRule type="expression" dxfId="266" priority="59">
      <formula>H128=""</formula>
    </cfRule>
    <cfRule type="expression" dxfId="265" priority="60">
      <formula>H128="List Price"</formula>
    </cfRule>
  </conditionalFormatting>
  <conditionalFormatting sqref="H170:H171">
    <cfRule type="expression" dxfId="264" priority="16">
      <formula>H170="Not a valid item #"</formula>
    </cfRule>
    <cfRule type="expression" dxfId="263" priority="17">
      <formula>H170="Not in NPSLS"</formula>
    </cfRule>
    <cfRule type="expression" dxfId="262" priority="18">
      <formula>H170="Obsolete"</formula>
    </cfRule>
    <cfRule type="expression" dxfId="261" priority="19">
      <formula>H170=""</formula>
    </cfRule>
    <cfRule type="expression" dxfId="260" priority="20">
      <formula>H170="List Price"</formula>
    </cfRule>
  </conditionalFormatting>
  <conditionalFormatting sqref="H182:H183">
    <cfRule type="expression" dxfId="259" priority="96">
      <formula>H182="Not a valid item #"</formula>
    </cfRule>
    <cfRule type="expression" dxfId="258" priority="97">
      <formula>H182="Not in NPSLS"</formula>
    </cfRule>
    <cfRule type="expression" dxfId="257" priority="98">
      <formula>H182="Obsolete"</formula>
    </cfRule>
    <cfRule type="expression" dxfId="256" priority="99">
      <formula>H182=""</formula>
    </cfRule>
    <cfRule type="expression" dxfId="255" priority="100">
      <formula>H182="List Price"</formula>
    </cfRule>
  </conditionalFormatting>
  <hyperlinks>
    <hyperlink ref="A1" location="'Table of Contents'!A1" display="Return Home" xr:uid="{941B0B52-15AD-4DFE-84DD-2B9BAAF75C9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A9C-B977-4FA0-B6B7-FBCF5A200996}">
  <sheetPr codeName="Sheet16"/>
  <dimension ref="A1:M218"/>
  <sheetViews>
    <sheetView showGridLines="0" zoomScale="85" zoomScaleNormal="85" workbookViewId="0"/>
  </sheetViews>
  <sheetFormatPr defaultRowHeight="15" x14ac:dyDescent="0.25"/>
  <cols>
    <col min="1" max="1" width="24.85546875" customWidth="1"/>
    <col min="2" max="2" width="26" customWidth="1"/>
    <col min="3" max="3" width="13.5703125" customWidth="1"/>
    <col min="9" max="9" width="10.5703125" customWidth="1"/>
    <col min="10" max="10" width="12.140625" customWidth="1"/>
    <col min="11" max="11" width="17.140625" customWidth="1"/>
    <col min="12" max="13" width="11.85546875" bestFit="1" customWidth="1"/>
    <col min="14" max="14" width="11.140625" bestFit="1" customWidth="1"/>
  </cols>
  <sheetData>
    <row r="1" spans="1:10" x14ac:dyDescent="0.25">
      <c r="A1" s="255" t="s">
        <v>5540</v>
      </c>
    </row>
    <row r="2" spans="1:10" ht="15.75" x14ac:dyDescent="0.25">
      <c r="A2" s="68" t="s">
        <v>2578</v>
      </c>
      <c r="B2" s="68" t="s">
        <v>647</v>
      </c>
      <c r="C2" s="14"/>
      <c r="D2" s="14"/>
      <c r="E2" s="14"/>
      <c r="F2" s="3"/>
      <c r="G2" s="8"/>
      <c r="H2" s="110"/>
      <c r="I2" s="111"/>
    </row>
    <row r="3" spans="1:10" ht="15.75" x14ac:dyDescent="0.25">
      <c r="A3" s="48" t="s">
        <v>2579</v>
      </c>
      <c r="B3" s="11"/>
      <c r="C3" s="4"/>
      <c r="D3" s="4"/>
      <c r="E3" s="4"/>
      <c r="F3" s="4"/>
      <c r="G3" s="5"/>
      <c r="H3" s="110"/>
      <c r="I3" s="4"/>
    </row>
    <row r="4" spans="1:10" ht="24" x14ac:dyDescent="0.25">
      <c r="A4" s="25" t="s">
        <v>35</v>
      </c>
      <c r="B4" s="345" t="s">
        <v>2291</v>
      </c>
      <c r="C4" s="346"/>
      <c r="D4" s="337" t="s">
        <v>38</v>
      </c>
      <c r="E4" s="337"/>
      <c r="F4" s="148" t="s">
        <v>39</v>
      </c>
      <c r="G4" s="149"/>
      <c r="H4" s="42" t="s">
        <v>40</v>
      </c>
      <c r="I4" s="24" t="s">
        <v>41</v>
      </c>
    </row>
    <row r="5" spans="1:10" x14ac:dyDescent="0.25">
      <c r="A5" s="96"/>
      <c r="B5" s="32" t="s">
        <v>2292</v>
      </c>
      <c r="C5" s="147" t="s">
        <v>2293</v>
      </c>
      <c r="D5" s="33" t="s">
        <v>44</v>
      </c>
      <c r="E5" s="33" t="s">
        <v>45</v>
      </c>
      <c r="F5" s="33" t="s">
        <v>46</v>
      </c>
      <c r="G5" s="39" t="s">
        <v>47</v>
      </c>
      <c r="H5" s="33"/>
      <c r="I5" s="41"/>
    </row>
    <row r="6" spans="1:10" x14ac:dyDescent="0.25">
      <c r="A6" s="60" t="s">
        <v>2580</v>
      </c>
      <c r="B6" s="92" t="s">
        <v>2296</v>
      </c>
      <c r="C6" s="89" t="s">
        <v>2296</v>
      </c>
      <c r="D6" s="64">
        <v>1.5</v>
      </c>
      <c r="E6" s="98">
        <v>40</v>
      </c>
      <c r="F6" s="35">
        <v>4</v>
      </c>
      <c r="G6" s="40">
        <v>1.8</v>
      </c>
      <c r="H6" s="38" t="s">
        <v>2581</v>
      </c>
      <c r="I6" s="34">
        <f>IFERROR(_xlfn.XLOOKUP(H6,Index!$A:$A,Index!$B:$B),"")</f>
        <v>463</v>
      </c>
    </row>
    <row r="7" spans="1:10" x14ac:dyDescent="0.25">
      <c r="A7" s="124"/>
      <c r="B7" s="124"/>
      <c r="C7" s="124"/>
      <c r="D7" s="64">
        <v>2</v>
      </c>
      <c r="E7" s="98">
        <v>50</v>
      </c>
      <c r="F7" s="35">
        <v>5</v>
      </c>
      <c r="G7" s="40">
        <v>2.2999999999999998</v>
      </c>
      <c r="H7" s="38" t="s">
        <v>2582</v>
      </c>
      <c r="I7" s="34">
        <f>IFERROR(_xlfn.XLOOKUP(H7,Index!$A:$A,Index!$B:$B),"")</f>
        <v>561.5</v>
      </c>
    </row>
    <row r="8" spans="1:10" x14ac:dyDescent="0.25">
      <c r="A8" s="124"/>
      <c r="B8" s="124"/>
      <c r="C8" s="124"/>
      <c r="D8" s="64" t="s">
        <v>231</v>
      </c>
      <c r="E8" s="98">
        <v>65</v>
      </c>
      <c r="F8" s="35">
        <v>8</v>
      </c>
      <c r="G8" s="40">
        <v>3.6</v>
      </c>
      <c r="H8" s="38" t="s">
        <v>2583</v>
      </c>
      <c r="I8" s="34">
        <f>IFERROR(_xlfn.XLOOKUP(H8,Index!$A:$A,Index!$B:$B),"")</f>
        <v>611.5</v>
      </c>
    </row>
    <row r="9" spans="1:10" x14ac:dyDescent="0.25">
      <c r="A9" s="124"/>
      <c r="B9" s="124"/>
      <c r="C9" s="124"/>
      <c r="D9" s="64">
        <v>3</v>
      </c>
      <c r="E9" s="98">
        <v>80</v>
      </c>
      <c r="F9" s="35">
        <v>10</v>
      </c>
      <c r="G9" s="40">
        <v>4.5</v>
      </c>
      <c r="H9" s="38" t="s">
        <v>2584</v>
      </c>
      <c r="I9" s="34">
        <f>IFERROR(_xlfn.XLOOKUP(H9,Index!$A:$A,Index!$B:$B),"")</f>
        <v>651</v>
      </c>
    </row>
    <row r="10" spans="1:10" x14ac:dyDescent="0.25">
      <c r="A10" s="124"/>
      <c r="B10" s="124"/>
      <c r="C10" s="124"/>
      <c r="D10" s="64">
        <v>4</v>
      </c>
      <c r="E10" s="98">
        <v>100</v>
      </c>
      <c r="F10" s="35">
        <v>18</v>
      </c>
      <c r="G10" s="40">
        <v>8.1999999999999993</v>
      </c>
      <c r="H10" s="38" t="s">
        <v>2585</v>
      </c>
      <c r="I10" s="34">
        <f>IFERROR(_xlfn.XLOOKUP(H10,Index!$A:$A,Index!$B:$B),"")</f>
        <v>831</v>
      </c>
      <c r="J10" s="257"/>
    </row>
    <row r="11" spans="1:10" x14ac:dyDescent="0.25">
      <c r="A11" s="124"/>
      <c r="B11" s="124"/>
      <c r="C11" s="124"/>
      <c r="D11" s="64">
        <v>5</v>
      </c>
      <c r="E11" s="98">
        <v>125</v>
      </c>
      <c r="F11" s="35">
        <v>28</v>
      </c>
      <c r="G11" s="40">
        <v>12.7</v>
      </c>
      <c r="H11" s="38" t="s">
        <v>2586</v>
      </c>
      <c r="I11" s="34">
        <f>IFERROR(_xlfn.XLOOKUP(H11,Index!$A:$A,Index!$B:$B),"")</f>
        <v>1102</v>
      </c>
    </row>
    <row r="12" spans="1:10" x14ac:dyDescent="0.25">
      <c r="A12" s="124"/>
      <c r="B12" s="124"/>
      <c r="C12" s="124"/>
      <c r="D12" s="64">
        <v>6</v>
      </c>
      <c r="E12" s="98">
        <v>150</v>
      </c>
      <c r="F12" s="35">
        <v>38</v>
      </c>
      <c r="G12" s="40">
        <v>17</v>
      </c>
      <c r="H12" s="38" t="s">
        <v>2587</v>
      </c>
      <c r="I12" s="34">
        <f>IFERROR(_xlfn.XLOOKUP(H12,Index!$A:$A,Index!$B:$B),"")</f>
        <v>1462</v>
      </c>
    </row>
    <row r="13" spans="1:10" x14ac:dyDescent="0.25">
      <c r="A13" s="60" t="s">
        <v>2588</v>
      </c>
      <c r="B13" s="92" t="s">
        <v>2296</v>
      </c>
      <c r="C13" s="89" t="s">
        <v>2296</v>
      </c>
      <c r="D13" s="64">
        <v>8</v>
      </c>
      <c r="E13" s="98">
        <v>200</v>
      </c>
      <c r="F13" s="35">
        <v>86</v>
      </c>
      <c r="G13" s="40">
        <v>39</v>
      </c>
      <c r="H13" s="38" t="s">
        <v>2589</v>
      </c>
      <c r="I13" s="34">
        <f>IFERROR(_xlfn.XLOOKUP(H13,Index!$A:$A,Index!$B:$B),"")</f>
        <v>2475</v>
      </c>
    </row>
    <row r="14" spans="1:10" x14ac:dyDescent="0.25">
      <c r="A14" s="124"/>
      <c r="B14" s="124"/>
      <c r="C14" s="124"/>
      <c r="D14" s="64">
        <v>10</v>
      </c>
      <c r="E14" s="98">
        <v>250</v>
      </c>
      <c r="F14" s="35">
        <v>163</v>
      </c>
      <c r="G14" s="40">
        <v>74</v>
      </c>
      <c r="H14" s="38" t="s">
        <v>2590</v>
      </c>
      <c r="I14" s="34">
        <f>IFERROR(_xlfn.XLOOKUP(H14,Index!$A:$A,Index!$B:$B),"")</f>
        <v>4280</v>
      </c>
    </row>
    <row r="15" spans="1:10" x14ac:dyDescent="0.25">
      <c r="A15" s="120"/>
      <c r="B15" s="120"/>
      <c r="C15" s="120"/>
      <c r="D15" s="64">
        <v>12</v>
      </c>
      <c r="E15" s="98">
        <v>300</v>
      </c>
      <c r="F15" s="35">
        <v>269</v>
      </c>
      <c r="G15" s="40">
        <v>122</v>
      </c>
      <c r="H15" s="38" t="s">
        <v>2591</v>
      </c>
      <c r="I15" s="34">
        <f>IFERROR(_xlfn.XLOOKUP(H15,Index!$A:$A,Index!$B:$B),"")</f>
        <v>8163</v>
      </c>
    </row>
    <row r="17" spans="1:9" ht="15.75" x14ac:dyDescent="0.25">
      <c r="A17" s="68" t="s">
        <v>2592</v>
      </c>
      <c r="B17" s="68" t="s">
        <v>647</v>
      </c>
      <c r="C17" s="14"/>
      <c r="D17" s="14"/>
      <c r="E17" s="14"/>
      <c r="F17" s="3"/>
      <c r="G17" s="8"/>
      <c r="H17" s="110"/>
      <c r="I17" s="111"/>
    </row>
    <row r="18" spans="1:9" ht="15.75" x14ac:dyDescent="0.25">
      <c r="A18" s="48" t="s">
        <v>2593</v>
      </c>
      <c r="B18" s="11"/>
      <c r="C18" s="4"/>
      <c r="D18" s="4"/>
      <c r="E18" s="4"/>
      <c r="F18" s="4"/>
      <c r="G18" s="5"/>
      <c r="H18" s="110"/>
      <c r="I18" s="4"/>
    </row>
    <row r="19" spans="1:9" ht="24" x14ac:dyDescent="0.25">
      <c r="A19" s="25" t="s">
        <v>35</v>
      </c>
      <c r="B19" s="345" t="s">
        <v>2291</v>
      </c>
      <c r="C19" s="346"/>
      <c r="D19" s="337" t="s">
        <v>38</v>
      </c>
      <c r="E19" s="337"/>
      <c r="F19" s="335" t="s">
        <v>39</v>
      </c>
      <c r="G19" s="336"/>
      <c r="H19" s="42" t="s">
        <v>40</v>
      </c>
      <c r="I19" s="24" t="s">
        <v>41</v>
      </c>
    </row>
    <row r="20" spans="1:9" x14ac:dyDescent="0.25">
      <c r="A20" s="96"/>
      <c r="B20" s="32" t="s">
        <v>2292</v>
      </c>
      <c r="C20" s="147" t="s">
        <v>2293</v>
      </c>
      <c r="D20" s="33" t="s">
        <v>44</v>
      </c>
      <c r="E20" s="33" t="s">
        <v>45</v>
      </c>
      <c r="F20" s="33" t="s">
        <v>46</v>
      </c>
      <c r="G20" s="39" t="s">
        <v>47</v>
      </c>
      <c r="H20" s="33"/>
      <c r="I20" s="41"/>
    </row>
    <row r="21" spans="1:9" x14ac:dyDescent="0.25">
      <c r="A21" s="60" t="s">
        <v>2580</v>
      </c>
      <c r="B21" s="92" t="s">
        <v>2296</v>
      </c>
      <c r="C21" s="89" t="s">
        <v>2296</v>
      </c>
      <c r="D21" s="64">
        <v>1.5</v>
      </c>
      <c r="E21" s="98">
        <v>40</v>
      </c>
      <c r="F21" s="35">
        <v>4</v>
      </c>
      <c r="G21" s="40">
        <v>1.8</v>
      </c>
      <c r="H21" s="38" t="s">
        <v>2594</v>
      </c>
      <c r="I21" s="34">
        <f>IFERROR(_xlfn.XLOOKUP(H21,Index!$A:$A,Index!$B:$B),"")</f>
        <v>304.5</v>
      </c>
    </row>
    <row r="22" spans="1:9" x14ac:dyDescent="0.25">
      <c r="A22" s="124"/>
      <c r="B22" s="124"/>
      <c r="C22" s="124"/>
      <c r="D22" s="64">
        <v>2</v>
      </c>
      <c r="E22" s="98">
        <v>50</v>
      </c>
      <c r="F22" s="35">
        <v>5</v>
      </c>
      <c r="G22" s="40">
        <v>2.2999999999999998</v>
      </c>
      <c r="H22" s="38" t="s">
        <v>2595</v>
      </c>
      <c r="I22" s="34">
        <f>IFERROR(_xlfn.XLOOKUP(H22,Index!$A:$A,Index!$B:$B),"")</f>
        <v>393.5</v>
      </c>
    </row>
    <row r="23" spans="1:9" x14ac:dyDescent="0.25">
      <c r="A23" s="124"/>
      <c r="B23" s="124"/>
      <c r="C23" s="124"/>
      <c r="D23" s="64" t="s">
        <v>231</v>
      </c>
      <c r="E23" s="98">
        <v>65</v>
      </c>
      <c r="F23" s="35">
        <v>8</v>
      </c>
      <c r="G23" s="40">
        <v>3.6</v>
      </c>
      <c r="H23" s="38" t="s">
        <v>2596</v>
      </c>
      <c r="I23" s="34">
        <f>IFERROR(_xlfn.XLOOKUP(H23,Index!$A:$A,Index!$B:$B),"")</f>
        <v>428.5</v>
      </c>
    </row>
    <row r="24" spans="1:9" x14ac:dyDescent="0.25">
      <c r="A24" s="124"/>
      <c r="B24" s="124"/>
      <c r="C24" s="124"/>
      <c r="D24" s="64">
        <v>3</v>
      </c>
      <c r="E24" s="98">
        <v>80</v>
      </c>
      <c r="F24" s="35">
        <v>10</v>
      </c>
      <c r="G24" s="40">
        <v>4.5</v>
      </c>
      <c r="H24" s="38" t="s">
        <v>2597</v>
      </c>
      <c r="I24" s="34">
        <f>IFERROR(_xlfn.XLOOKUP(H24,Index!$A:$A,Index!$B:$B),"")</f>
        <v>456</v>
      </c>
    </row>
    <row r="25" spans="1:9" x14ac:dyDescent="0.25">
      <c r="A25" s="124"/>
      <c r="B25" s="124"/>
      <c r="C25" s="124"/>
      <c r="D25" s="64">
        <v>4</v>
      </c>
      <c r="E25" s="98">
        <v>100</v>
      </c>
      <c r="F25" s="35">
        <v>18</v>
      </c>
      <c r="G25" s="40">
        <v>8.1999999999999993</v>
      </c>
      <c r="H25" s="38" t="s">
        <v>2598</v>
      </c>
      <c r="I25" s="34">
        <f>IFERROR(_xlfn.XLOOKUP(H25,Index!$A:$A,Index!$B:$B),"")</f>
        <v>582</v>
      </c>
    </row>
    <row r="26" spans="1:9" x14ac:dyDescent="0.25">
      <c r="A26" s="124"/>
      <c r="B26" s="124"/>
      <c r="C26" s="124"/>
      <c r="D26" s="64">
        <v>5</v>
      </c>
      <c r="E26" s="98">
        <v>125</v>
      </c>
      <c r="F26" s="35">
        <v>28</v>
      </c>
      <c r="G26" s="40">
        <v>12.7</v>
      </c>
      <c r="H26" s="38" t="s">
        <v>2599</v>
      </c>
      <c r="I26" s="34">
        <f>IFERROR(_xlfn.XLOOKUP(H26,Index!$A:$A,Index!$B:$B),"")</f>
        <v>772</v>
      </c>
    </row>
    <row r="27" spans="1:9" x14ac:dyDescent="0.25">
      <c r="A27" s="124"/>
      <c r="B27" s="124"/>
      <c r="C27" s="124"/>
      <c r="D27" s="64">
        <v>6</v>
      </c>
      <c r="E27" s="98">
        <v>150</v>
      </c>
      <c r="F27" s="35">
        <v>38</v>
      </c>
      <c r="G27" s="40">
        <v>17</v>
      </c>
      <c r="H27" s="38" t="s">
        <v>2600</v>
      </c>
      <c r="I27" s="34">
        <f>IFERROR(_xlfn.XLOOKUP(H27,Index!$A:$A,Index!$B:$B),"")</f>
        <v>1024</v>
      </c>
    </row>
    <row r="28" spans="1:9" x14ac:dyDescent="0.25">
      <c r="A28" s="60" t="s">
        <v>2588</v>
      </c>
      <c r="B28" s="92" t="s">
        <v>2296</v>
      </c>
      <c r="C28" s="89" t="s">
        <v>2296</v>
      </c>
      <c r="D28" s="64">
        <v>8</v>
      </c>
      <c r="E28" s="98">
        <v>200</v>
      </c>
      <c r="F28" s="35">
        <v>86</v>
      </c>
      <c r="G28" s="40">
        <v>39</v>
      </c>
      <c r="H28" s="38" t="s">
        <v>2601</v>
      </c>
      <c r="I28" s="34">
        <f>IFERROR(_xlfn.XLOOKUP(H28,Index!$A:$A,Index!$B:$B),"")</f>
        <v>1733</v>
      </c>
    </row>
    <row r="29" spans="1:9" x14ac:dyDescent="0.25">
      <c r="A29" s="124"/>
      <c r="B29" s="124"/>
      <c r="C29" s="124"/>
      <c r="D29" s="64">
        <v>10</v>
      </c>
      <c r="E29" s="98">
        <v>250</v>
      </c>
      <c r="F29" s="35">
        <v>163</v>
      </c>
      <c r="G29" s="40">
        <v>74</v>
      </c>
      <c r="H29" s="38" t="s">
        <v>2602</v>
      </c>
      <c r="I29" s="34">
        <f>IFERROR(_xlfn.XLOOKUP(H29,Index!$A:$A,Index!$B:$B),"")</f>
        <v>2998</v>
      </c>
    </row>
    <row r="30" spans="1:9" x14ac:dyDescent="0.25">
      <c r="A30" s="120"/>
      <c r="B30" s="120"/>
      <c r="C30" s="120"/>
      <c r="D30" s="64">
        <v>12</v>
      </c>
      <c r="E30" s="98">
        <v>300</v>
      </c>
      <c r="F30" s="35">
        <v>269</v>
      </c>
      <c r="G30" s="40">
        <v>122</v>
      </c>
      <c r="H30" s="38" t="s">
        <v>2603</v>
      </c>
      <c r="I30" s="34">
        <f>IFERROR(_xlfn.XLOOKUP(H30,Index!$A:$A,Index!$B:$B),"")</f>
        <v>5718</v>
      </c>
    </row>
    <row r="32" spans="1:9" ht="15.75" x14ac:dyDescent="0.25">
      <c r="A32" s="68" t="s">
        <v>2604</v>
      </c>
      <c r="B32" s="68" t="s">
        <v>468</v>
      </c>
      <c r="C32" s="14"/>
      <c r="D32" s="14"/>
      <c r="E32" s="14"/>
      <c r="F32" s="3"/>
      <c r="G32" s="8"/>
      <c r="H32" s="110"/>
      <c r="I32" s="111"/>
    </row>
    <row r="33" spans="1:13" ht="15.75" x14ac:dyDescent="0.25">
      <c r="A33" s="48" t="s">
        <v>2605</v>
      </c>
      <c r="B33" s="11"/>
      <c r="C33" s="4"/>
      <c r="D33" s="4"/>
      <c r="E33" s="4"/>
      <c r="F33" s="4"/>
      <c r="G33" s="5"/>
      <c r="H33" s="110"/>
      <c r="I33" s="4"/>
    </row>
    <row r="34" spans="1:13" ht="24" x14ac:dyDescent="0.25">
      <c r="A34" s="25" t="s">
        <v>35</v>
      </c>
      <c r="B34" s="136" t="s">
        <v>1880</v>
      </c>
      <c r="C34" s="344" t="s">
        <v>2291</v>
      </c>
      <c r="D34" s="346"/>
      <c r="E34" s="335" t="s">
        <v>38</v>
      </c>
      <c r="F34" s="336"/>
      <c r="G34" s="335" t="s">
        <v>39</v>
      </c>
      <c r="H34" s="336"/>
      <c r="I34" s="42" t="s">
        <v>40</v>
      </c>
      <c r="J34" s="24" t="s">
        <v>41</v>
      </c>
    </row>
    <row r="35" spans="1:13" x14ac:dyDescent="0.25">
      <c r="A35" s="96"/>
      <c r="B35" s="96"/>
      <c r="C35" s="32" t="s">
        <v>2292</v>
      </c>
      <c r="D35" s="147" t="s">
        <v>2293</v>
      </c>
      <c r="E35" s="33" t="s">
        <v>44</v>
      </c>
      <c r="F35" s="33" t="s">
        <v>45</v>
      </c>
      <c r="G35" s="33" t="s">
        <v>46</v>
      </c>
      <c r="H35" s="39" t="s">
        <v>47</v>
      </c>
      <c r="I35" s="33"/>
      <c r="J35" s="41"/>
    </row>
    <row r="36" spans="1:13" x14ac:dyDescent="0.25">
      <c r="A36" s="60" t="s">
        <v>2606</v>
      </c>
      <c r="B36" s="92" t="s">
        <v>2607</v>
      </c>
      <c r="C36" s="92" t="s">
        <v>1897</v>
      </c>
      <c r="D36" s="89" t="s">
        <v>2608</v>
      </c>
      <c r="E36" s="64">
        <v>0.25</v>
      </c>
      <c r="F36" s="98">
        <v>8</v>
      </c>
      <c r="G36" s="35">
        <v>0.94</v>
      </c>
      <c r="H36" s="40">
        <v>0.4</v>
      </c>
      <c r="I36" s="38" t="s">
        <v>2609</v>
      </c>
      <c r="J36" s="34">
        <f>IFERROR(_xlfn.XLOOKUP(I36,Index!$A:$A,Index!$B:$B),"")</f>
        <v>239.5</v>
      </c>
      <c r="K36" s="257"/>
    </row>
    <row r="37" spans="1:13" x14ac:dyDescent="0.25">
      <c r="A37" s="124"/>
      <c r="B37" s="124"/>
      <c r="C37" s="124"/>
      <c r="D37" s="124"/>
      <c r="E37" s="64">
        <v>0.375</v>
      </c>
      <c r="F37" s="98">
        <v>10</v>
      </c>
      <c r="G37" s="35">
        <v>0.94</v>
      </c>
      <c r="H37" s="40">
        <v>0.4</v>
      </c>
      <c r="I37" s="38" t="s">
        <v>2610</v>
      </c>
      <c r="J37" s="34">
        <f>IFERROR(_xlfn.XLOOKUP(I37,Index!$A:$A,Index!$B:$B),"")</f>
        <v>239.5</v>
      </c>
      <c r="K37" s="257"/>
    </row>
    <row r="38" spans="1:13" x14ac:dyDescent="0.25">
      <c r="A38" s="124"/>
      <c r="B38" s="124"/>
      <c r="C38" s="124"/>
      <c r="D38" s="124"/>
      <c r="E38" s="64">
        <v>0.5</v>
      </c>
      <c r="F38" s="98">
        <v>15</v>
      </c>
      <c r="G38" s="35">
        <v>0.94</v>
      </c>
      <c r="H38" s="40">
        <v>0.4</v>
      </c>
      <c r="I38" s="38" t="s">
        <v>2611</v>
      </c>
      <c r="J38" s="34">
        <f>IFERROR(_xlfn.XLOOKUP(I38,Index!$A:$A,Index!$B:$B),"")</f>
        <v>239.5</v>
      </c>
      <c r="K38" s="257"/>
    </row>
    <row r="39" spans="1:13" x14ac:dyDescent="0.25">
      <c r="A39" s="124"/>
      <c r="B39" s="124"/>
      <c r="C39" s="124"/>
      <c r="D39" s="124"/>
      <c r="E39" s="64">
        <v>0.75</v>
      </c>
      <c r="F39" s="98">
        <v>20</v>
      </c>
      <c r="G39" s="35">
        <v>1.1299999999999999</v>
      </c>
      <c r="H39" s="40">
        <v>0.5</v>
      </c>
      <c r="I39" s="38" t="s">
        <v>2612</v>
      </c>
      <c r="J39" s="34">
        <f>IFERROR(_xlfn.XLOOKUP(I39,Index!$A:$A,Index!$B:$B),"")</f>
        <v>250</v>
      </c>
      <c r="K39" s="257"/>
    </row>
    <row r="40" spans="1:13" x14ac:dyDescent="0.25">
      <c r="A40" s="124"/>
      <c r="B40" s="124"/>
      <c r="C40" s="124"/>
      <c r="D40" s="124"/>
      <c r="E40" s="64">
        <v>1</v>
      </c>
      <c r="F40" s="98">
        <v>25</v>
      </c>
      <c r="G40" s="35">
        <v>1.81</v>
      </c>
      <c r="H40" s="40">
        <v>0.8</v>
      </c>
      <c r="I40" s="38" t="s">
        <v>2613</v>
      </c>
      <c r="J40" s="34">
        <f>IFERROR(_xlfn.XLOOKUP(I40,Index!$A:$A,Index!$B:$B),"")</f>
        <v>260</v>
      </c>
      <c r="K40" s="257"/>
    </row>
    <row r="41" spans="1:13" x14ac:dyDescent="0.25">
      <c r="A41" s="124"/>
      <c r="B41" s="124"/>
      <c r="C41" s="124"/>
      <c r="D41" s="124"/>
      <c r="E41" s="64">
        <v>1.25</v>
      </c>
      <c r="F41" s="98">
        <v>32</v>
      </c>
      <c r="G41" s="35">
        <v>4.1900000000000004</v>
      </c>
      <c r="H41" s="40">
        <v>1.9</v>
      </c>
      <c r="I41" s="38" t="s">
        <v>2614</v>
      </c>
      <c r="J41" s="34">
        <f>IFERROR(_xlfn.XLOOKUP(I41,Index!$A:$A,Index!$B:$B),"")</f>
        <v>342.5</v>
      </c>
      <c r="K41" s="257"/>
    </row>
    <row r="42" spans="1:13" x14ac:dyDescent="0.25">
      <c r="A42" s="124"/>
      <c r="B42" s="124"/>
      <c r="C42" s="124"/>
      <c r="D42" s="124"/>
      <c r="E42" s="64">
        <v>1.5</v>
      </c>
      <c r="F42" s="98">
        <v>40</v>
      </c>
      <c r="G42" s="35">
        <v>4.3099999999999996</v>
      </c>
      <c r="H42" s="40">
        <v>2</v>
      </c>
      <c r="I42" s="38" t="s">
        <v>2615</v>
      </c>
      <c r="J42" s="34">
        <f>IFERROR(_xlfn.XLOOKUP(I42,Index!$A:$A,Index!$B:$B),"")</f>
        <v>416</v>
      </c>
      <c r="K42" s="257"/>
    </row>
    <row r="43" spans="1:13" x14ac:dyDescent="0.25">
      <c r="A43" s="120"/>
      <c r="B43" s="120"/>
      <c r="C43" s="120"/>
      <c r="D43" s="120"/>
      <c r="E43" s="64">
        <v>2</v>
      </c>
      <c r="F43" s="98">
        <v>50</v>
      </c>
      <c r="G43" s="35">
        <v>5.31</v>
      </c>
      <c r="H43" s="40">
        <v>2</v>
      </c>
      <c r="I43" s="38" t="s">
        <v>2616</v>
      </c>
      <c r="J43" s="34">
        <f>IFERROR(_xlfn.XLOOKUP(I43,Index!$A:$A,Index!$B:$B),"")</f>
        <v>570</v>
      </c>
      <c r="K43" s="257"/>
    </row>
    <row r="44" spans="1:13" x14ac:dyDescent="0.25">
      <c r="A44" s="60" t="s">
        <v>5772</v>
      </c>
      <c r="B44" s="92" t="s">
        <v>2607</v>
      </c>
      <c r="C44" s="92" t="s">
        <v>2296</v>
      </c>
      <c r="D44" s="89" t="s">
        <v>5771</v>
      </c>
      <c r="E44" s="64">
        <v>0.5</v>
      </c>
      <c r="F44" s="98">
        <v>15</v>
      </c>
      <c r="G44" s="35">
        <v>0.94</v>
      </c>
      <c r="H44" s="40">
        <v>0.4</v>
      </c>
      <c r="I44" s="38" t="s">
        <v>5773</v>
      </c>
      <c r="J44" s="34">
        <f>IFERROR(_xlfn.XLOOKUP(I44,Index!$A:$A,Index!$B:$B),"")</f>
        <v>295.5</v>
      </c>
      <c r="M44" s="257"/>
    </row>
    <row r="45" spans="1:13" x14ac:dyDescent="0.25">
      <c r="A45" s="124"/>
      <c r="B45" s="124"/>
      <c r="C45" s="124"/>
      <c r="D45" s="124"/>
      <c r="E45" s="64">
        <v>0.75</v>
      </c>
      <c r="F45" s="98">
        <v>20</v>
      </c>
      <c r="G45" s="35">
        <v>1.1299999999999999</v>
      </c>
      <c r="H45" s="40">
        <v>0.5</v>
      </c>
      <c r="I45" s="38" t="s">
        <v>5774</v>
      </c>
      <c r="J45" s="34">
        <f>IFERROR(_xlfn.XLOOKUP(I45,Index!$A:$A,Index!$B:$B),"")</f>
        <v>335.5</v>
      </c>
      <c r="M45" s="257"/>
    </row>
    <row r="46" spans="1:13" x14ac:dyDescent="0.25">
      <c r="A46" s="124"/>
      <c r="B46" s="124"/>
      <c r="C46" s="124"/>
      <c r="D46" s="124"/>
      <c r="E46" s="64">
        <v>1</v>
      </c>
      <c r="F46" s="98">
        <v>25</v>
      </c>
      <c r="G46" s="35">
        <v>1.81</v>
      </c>
      <c r="H46" s="40">
        <v>0.8</v>
      </c>
      <c r="I46" s="38" t="s">
        <v>5775</v>
      </c>
      <c r="J46" s="34">
        <f>IFERROR(_xlfn.XLOOKUP(I46,Index!$A:$A,Index!$B:$B),"")</f>
        <v>369</v>
      </c>
      <c r="M46" s="257"/>
    </row>
    <row r="47" spans="1:13" x14ac:dyDescent="0.25">
      <c r="A47" s="124"/>
      <c r="B47" s="124"/>
      <c r="C47" s="124"/>
      <c r="D47" s="124"/>
      <c r="E47" s="64">
        <v>1.25</v>
      </c>
      <c r="F47" s="98">
        <v>32</v>
      </c>
      <c r="G47" s="35">
        <v>4.1900000000000004</v>
      </c>
      <c r="H47" s="40">
        <v>1.9</v>
      </c>
      <c r="I47" s="38" t="s">
        <v>5776</v>
      </c>
      <c r="J47" s="34">
        <f>IFERROR(_xlfn.XLOOKUP(I47,Index!$A:$A,Index!$B:$B),"")</f>
        <v>460</v>
      </c>
      <c r="M47" s="257"/>
    </row>
    <row r="48" spans="1:13" x14ac:dyDescent="0.25">
      <c r="A48" s="124"/>
      <c r="B48" s="124"/>
      <c r="C48" s="124"/>
      <c r="D48" s="124"/>
      <c r="E48" s="64">
        <v>1.5</v>
      </c>
      <c r="F48" s="98">
        <v>40</v>
      </c>
      <c r="G48" s="35">
        <v>4.3099999999999996</v>
      </c>
      <c r="H48" s="40">
        <v>2</v>
      </c>
      <c r="I48" s="38" t="s">
        <v>5777</v>
      </c>
      <c r="J48" s="34">
        <f>IFERROR(_xlfn.XLOOKUP(I48,Index!$A:$A,Index!$B:$B),"")</f>
        <v>548.5</v>
      </c>
      <c r="M48" s="257"/>
    </row>
    <row r="49" spans="1:13" x14ac:dyDescent="0.25">
      <c r="A49" s="120"/>
      <c r="B49" s="120"/>
      <c r="C49" s="120"/>
      <c r="D49" s="120"/>
      <c r="E49" s="64">
        <v>2</v>
      </c>
      <c r="F49" s="98">
        <v>50</v>
      </c>
      <c r="G49" s="35">
        <v>5.31</v>
      </c>
      <c r="H49" s="40">
        <v>2</v>
      </c>
      <c r="I49" s="38" t="s">
        <v>5778</v>
      </c>
      <c r="J49" s="34">
        <f>IFERROR(_xlfn.XLOOKUP(I49,Index!$A:$A,Index!$B:$B),"")</f>
        <v>715.5</v>
      </c>
      <c r="M49" s="257"/>
    </row>
    <row r="50" spans="1:13" x14ac:dyDescent="0.25">
      <c r="E50" s="80"/>
      <c r="F50" s="142"/>
      <c r="G50" s="4"/>
      <c r="H50" s="19"/>
      <c r="I50" s="19"/>
      <c r="J50" s="84"/>
    </row>
    <row r="51" spans="1:13" ht="15.75" x14ac:dyDescent="0.25">
      <c r="A51" s="68" t="s">
        <v>2617</v>
      </c>
      <c r="B51" s="68" t="s">
        <v>647</v>
      </c>
      <c r="C51" s="14"/>
      <c r="D51" s="14"/>
      <c r="E51" s="14"/>
      <c r="F51" s="3"/>
      <c r="G51" s="8"/>
      <c r="H51" s="110"/>
      <c r="I51" s="111"/>
      <c r="J51" s="19"/>
    </row>
    <row r="52" spans="1:13" ht="15.75" x14ac:dyDescent="0.25">
      <c r="A52" s="48" t="s">
        <v>2618</v>
      </c>
      <c r="B52" s="11"/>
      <c r="C52" s="4"/>
      <c r="D52" s="4"/>
      <c r="E52" s="4"/>
      <c r="F52" s="4"/>
      <c r="G52" s="5"/>
      <c r="H52" s="110"/>
      <c r="I52" s="4"/>
      <c r="J52" s="19"/>
    </row>
    <row r="53" spans="1:13" ht="24" x14ac:dyDescent="0.25">
      <c r="A53" s="25" t="s">
        <v>35</v>
      </c>
      <c r="B53" s="136" t="s">
        <v>1880</v>
      </c>
      <c r="C53" s="344" t="s">
        <v>2291</v>
      </c>
      <c r="D53" s="346"/>
      <c r="E53" s="335" t="s">
        <v>38</v>
      </c>
      <c r="F53" s="336"/>
      <c r="G53" s="335" t="s">
        <v>39</v>
      </c>
      <c r="H53" s="336"/>
      <c r="I53" s="42" t="s">
        <v>40</v>
      </c>
      <c r="J53" s="24" t="s">
        <v>41</v>
      </c>
    </row>
    <row r="54" spans="1:13" x14ac:dyDescent="0.25">
      <c r="A54" s="96"/>
      <c r="B54" s="96"/>
      <c r="C54" s="32" t="s">
        <v>2292</v>
      </c>
      <c r="D54" s="147" t="s">
        <v>2293</v>
      </c>
      <c r="E54" s="33" t="s">
        <v>44</v>
      </c>
      <c r="F54" s="33" t="s">
        <v>45</v>
      </c>
      <c r="G54" s="33" t="s">
        <v>46</v>
      </c>
      <c r="H54" s="39" t="s">
        <v>47</v>
      </c>
      <c r="I54" s="33"/>
      <c r="J54" s="41"/>
    </row>
    <row r="55" spans="1:13" x14ac:dyDescent="0.25">
      <c r="A55" s="60" t="s">
        <v>2619</v>
      </c>
      <c r="B55" s="92" t="s">
        <v>2607</v>
      </c>
      <c r="C55" s="92" t="s">
        <v>2296</v>
      </c>
      <c r="D55" s="89" t="s">
        <v>2296</v>
      </c>
      <c r="E55" s="64">
        <v>1</v>
      </c>
      <c r="F55" s="98">
        <v>25</v>
      </c>
      <c r="G55" s="35">
        <v>10</v>
      </c>
      <c r="H55" s="40">
        <v>4.5</v>
      </c>
      <c r="I55" s="38" t="s">
        <v>2620</v>
      </c>
      <c r="J55" s="34">
        <f>IFERROR(_xlfn.XLOOKUP(I55,Index!$A:$A,Index!$B:$B),"")</f>
        <v>464</v>
      </c>
    </row>
    <row r="56" spans="1:13" x14ac:dyDescent="0.25">
      <c r="A56" s="124"/>
      <c r="B56" s="124"/>
      <c r="C56" s="124"/>
      <c r="D56" s="124"/>
      <c r="E56" s="64">
        <v>1.25</v>
      </c>
      <c r="F56" s="98">
        <v>32</v>
      </c>
      <c r="G56" s="35">
        <v>13</v>
      </c>
      <c r="H56" s="40">
        <v>5.9</v>
      </c>
      <c r="I56" s="38" t="s">
        <v>2621</v>
      </c>
      <c r="J56" s="34">
        <f>IFERROR(_xlfn.XLOOKUP(I56,Index!$A:$A,Index!$B:$B),"")</f>
        <v>479.5</v>
      </c>
    </row>
    <row r="57" spans="1:13" x14ac:dyDescent="0.25">
      <c r="A57" s="124"/>
      <c r="B57" s="124"/>
      <c r="C57" s="124"/>
      <c r="D57" s="124"/>
      <c r="E57" s="64">
        <v>1.5</v>
      </c>
      <c r="F57" s="98">
        <v>40</v>
      </c>
      <c r="G57" s="35">
        <v>15</v>
      </c>
      <c r="H57" s="40">
        <v>6.8</v>
      </c>
      <c r="I57" s="38" t="s">
        <v>2622</v>
      </c>
      <c r="J57" s="34">
        <f>IFERROR(_xlfn.XLOOKUP(I57,Index!$A:$A,Index!$B:$B),"")</f>
        <v>601.5</v>
      </c>
    </row>
    <row r="58" spans="1:13" x14ac:dyDescent="0.25">
      <c r="A58" s="124"/>
      <c r="B58" s="124"/>
      <c r="C58" s="124"/>
      <c r="D58" s="124"/>
      <c r="E58" s="64">
        <v>2</v>
      </c>
      <c r="F58" s="98">
        <v>50</v>
      </c>
      <c r="G58" s="35">
        <v>20</v>
      </c>
      <c r="H58" s="40">
        <v>9.1</v>
      </c>
      <c r="I58" s="38" t="s">
        <v>2623</v>
      </c>
      <c r="J58" s="34">
        <f>IFERROR(_xlfn.XLOOKUP(I58,Index!$A:$A,Index!$B:$B),"")</f>
        <v>692</v>
      </c>
    </row>
    <row r="59" spans="1:13" x14ac:dyDescent="0.25">
      <c r="A59" s="124"/>
      <c r="B59" s="124"/>
      <c r="C59" s="124"/>
      <c r="D59" s="124"/>
      <c r="E59" s="64" t="s">
        <v>231</v>
      </c>
      <c r="F59" s="98">
        <v>65</v>
      </c>
      <c r="G59" s="35">
        <v>25</v>
      </c>
      <c r="H59" s="40">
        <v>11.3</v>
      </c>
      <c r="I59" s="38" t="s">
        <v>2624</v>
      </c>
      <c r="J59" s="34">
        <f>IFERROR(_xlfn.XLOOKUP(I59,Index!$A:$A,Index!$B:$B),"")</f>
        <v>831</v>
      </c>
    </row>
    <row r="60" spans="1:13" x14ac:dyDescent="0.25">
      <c r="A60" s="124"/>
      <c r="B60" s="124"/>
      <c r="C60" s="124"/>
      <c r="D60" s="124"/>
      <c r="E60" s="64">
        <v>3</v>
      </c>
      <c r="F60" s="98">
        <v>80</v>
      </c>
      <c r="G60" s="35">
        <v>28</v>
      </c>
      <c r="H60" s="40">
        <v>12.7</v>
      </c>
      <c r="I60" s="38" t="s">
        <v>2625</v>
      </c>
      <c r="J60" s="34">
        <f>IFERROR(_xlfn.XLOOKUP(I60,Index!$A:$A,Index!$B:$B),"")</f>
        <v>868.5</v>
      </c>
    </row>
    <row r="61" spans="1:13" x14ac:dyDescent="0.25">
      <c r="A61" s="124"/>
      <c r="B61" s="124"/>
      <c r="C61" s="124"/>
      <c r="D61" s="124"/>
      <c r="E61" s="64">
        <v>4</v>
      </c>
      <c r="F61" s="98">
        <v>100</v>
      </c>
      <c r="G61" s="35">
        <v>38</v>
      </c>
      <c r="H61" s="40">
        <v>17</v>
      </c>
      <c r="I61" s="38" t="s">
        <v>2626</v>
      </c>
      <c r="J61" s="34">
        <f>IFERROR(_xlfn.XLOOKUP(I61,Index!$A:$A,Index!$B:$B),"")</f>
        <v>1070</v>
      </c>
    </row>
    <row r="62" spans="1:13" x14ac:dyDescent="0.25">
      <c r="A62" s="124"/>
      <c r="B62" s="124"/>
      <c r="C62" s="124"/>
      <c r="D62" s="124"/>
      <c r="E62" s="64">
        <v>5</v>
      </c>
      <c r="F62" s="98">
        <v>125</v>
      </c>
      <c r="G62" s="35">
        <v>53</v>
      </c>
      <c r="H62" s="40">
        <v>24</v>
      </c>
      <c r="I62" s="38" t="s">
        <v>2627</v>
      </c>
      <c r="J62" s="34">
        <f>IFERROR(_xlfn.XLOOKUP(I62,Index!$A:$A,Index!$B:$B),"")</f>
        <v>1688</v>
      </c>
    </row>
    <row r="63" spans="1:13" x14ac:dyDescent="0.25">
      <c r="A63" s="124"/>
      <c r="B63" s="124"/>
      <c r="C63" s="124"/>
      <c r="D63" s="124"/>
      <c r="E63" s="64">
        <v>6</v>
      </c>
      <c r="F63" s="98">
        <v>150</v>
      </c>
      <c r="G63" s="35">
        <v>70</v>
      </c>
      <c r="H63" s="40">
        <v>32</v>
      </c>
      <c r="I63" s="38" t="s">
        <v>2628</v>
      </c>
      <c r="J63" s="34">
        <f>IFERROR(_xlfn.XLOOKUP(I63,Index!$A:$A,Index!$B:$B),"")</f>
        <v>2213</v>
      </c>
      <c r="K63" s="257"/>
    </row>
    <row r="64" spans="1:13" x14ac:dyDescent="0.25">
      <c r="A64" s="124"/>
      <c r="B64" s="124"/>
      <c r="C64" s="124"/>
      <c r="D64" s="124"/>
      <c r="E64" s="64">
        <v>8</v>
      </c>
      <c r="F64" s="98">
        <v>200</v>
      </c>
      <c r="G64" s="35">
        <v>114</v>
      </c>
      <c r="H64" s="40">
        <v>52</v>
      </c>
      <c r="I64" s="38" t="s">
        <v>2629</v>
      </c>
      <c r="J64" s="34">
        <f>IFERROR(_xlfn.XLOOKUP(I64,Index!$A:$A,Index!$B:$B),"")</f>
        <v>3683</v>
      </c>
    </row>
    <row r="65" spans="1:10" x14ac:dyDescent="0.25">
      <c r="A65" s="124"/>
      <c r="B65" s="124"/>
      <c r="C65" s="124"/>
      <c r="D65" s="124"/>
      <c r="E65" s="64">
        <v>10</v>
      </c>
      <c r="F65" s="98">
        <v>250</v>
      </c>
      <c r="G65" s="35">
        <v>178</v>
      </c>
      <c r="H65" s="40">
        <v>81</v>
      </c>
      <c r="I65" s="38" t="s">
        <v>2630</v>
      </c>
      <c r="J65" s="34">
        <f>IFERROR(_xlfn.XLOOKUP(I65,Index!$A:$A,Index!$B:$B),"")</f>
        <v>4711</v>
      </c>
    </row>
    <row r="66" spans="1:10" x14ac:dyDescent="0.25">
      <c r="A66" s="60" t="s">
        <v>2631</v>
      </c>
      <c r="B66" s="92" t="s">
        <v>1900</v>
      </c>
      <c r="C66" s="92" t="s">
        <v>2296</v>
      </c>
      <c r="D66" s="89" t="s">
        <v>2296</v>
      </c>
      <c r="E66" s="64">
        <v>1</v>
      </c>
      <c r="F66" s="98">
        <v>25</v>
      </c>
      <c r="G66" s="35">
        <v>10</v>
      </c>
      <c r="H66" s="40">
        <v>4.5</v>
      </c>
      <c r="I66" s="38" t="s">
        <v>2632</v>
      </c>
      <c r="J66" s="34">
        <f>IFERROR(_xlfn.XLOOKUP(I66,Index!$A:$A,Index!$B:$B),"")</f>
        <v>1525</v>
      </c>
    </row>
    <row r="67" spans="1:10" x14ac:dyDescent="0.25">
      <c r="A67" s="124"/>
      <c r="B67" s="124"/>
      <c r="C67" s="124"/>
      <c r="D67" s="124"/>
      <c r="E67" s="64">
        <v>1.25</v>
      </c>
      <c r="F67" s="98">
        <v>32</v>
      </c>
      <c r="G67" s="35">
        <v>13</v>
      </c>
      <c r="H67" s="40">
        <v>5.9</v>
      </c>
      <c r="I67" s="38" t="s">
        <v>5542</v>
      </c>
      <c r="J67" s="34">
        <f>J68-491</f>
        <v>1179</v>
      </c>
    </row>
    <row r="68" spans="1:10" x14ac:dyDescent="0.25">
      <c r="A68" s="124"/>
      <c r="B68" s="124"/>
      <c r="C68" s="124"/>
      <c r="D68" s="124"/>
      <c r="E68" s="64">
        <v>1.5</v>
      </c>
      <c r="F68" s="98">
        <v>40</v>
      </c>
      <c r="G68" s="35">
        <v>15</v>
      </c>
      <c r="H68" s="40">
        <v>6.8</v>
      </c>
      <c r="I68" s="38" t="s">
        <v>2633</v>
      </c>
      <c r="J68" s="34">
        <f>IFERROR(_xlfn.XLOOKUP(I68,Index!$A:$A,Index!$B:$B),"")</f>
        <v>1670</v>
      </c>
    </row>
    <row r="69" spans="1:10" x14ac:dyDescent="0.25">
      <c r="A69" s="124"/>
      <c r="B69" s="124"/>
      <c r="C69" s="124"/>
      <c r="D69" s="124"/>
      <c r="E69" s="64">
        <v>2</v>
      </c>
      <c r="F69" s="98">
        <v>50</v>
      </c>
      <c r="G69" s="35">
        <v>20</v>
      </c>
      <c r="H69" s="40">
        <v>9.1</v>
      </c>
      <c r="I69" s="38" t="s">
        <v>2634</v>
      </c>
      <c r="J69" s="34">
        <f>IFERROR(_xlfn.XLOOKUP(I69,Index!$A:$A,Index!$B:$B),"")</f>
        <v>2012</v>
      </c>
    </row>
    <row r="70" spans="1:10" x14ac:dyDescent="0.25">
      <c r="A70" s="124"/>
      <c r="B70" s="124"/>
      <c r="C70" s="124"/>
      <c r="D70" s="124"/>
      <c r="E70" s="64" t="s">
        <v>231</v>
      </c>
      <c r="F70" s="98">
        <v>65</v>
      </c>
      <c r="G70" s="35">
        <v>25</v>
      </c>
      <c r="H70" s="40">
        <v>11.3</v>
      </c>
      <c r="I70" s="38" t="s">
        <v>2635</v>
      </c>
      <c r="J70" s="34">
        <f>IFERROR(_xlfn.XLOOKUP(I70,Index!$A:$A,Index!$B:$B),"")</f>
        <v>2424</v>
      </c>
    </row>
    <row r="71" spans="1:10" x14ac:dyDescent="0.25">
      <c r="A71" s="124"/>
      <c r="B71" s="124"/>
      <c r="C71" s="124"/>
      <c r="D71" s="124"/>
      <c r="E71" s="64">
        <v>3</v>
      </c>
      <c r="F71" s="98">
        <v>80</v>
      </c>
      <c r="G71" s="35">
        <v>28</v>
      </c>
      <c r="H71" s="40">
        <v>12.7</v>
      </c>
      <c r="I71" s="38" t="s">
        <v>2636</v>
      </c>
      <c r="J71" s="34">
        <f>IFERROR(_xlfn.XLOOKUP(I71,Index!$A:$A,Index!$B:$B),"")</f>
        <v>2817</v>
      </c>
    </row>
    <row r="72" spans="1:10" x14ac:dyDescent="0.25">
      <c r="A72" s="124"/>
      <c r="B72" s="124"/>
      <c r="C72" s="124"/>
      <c r="D72" s="124"/>
      <c r="E72" s="64">
        <v>4</v>
      </c>
      <c r="F72" s="98">
        <v>100</v>
      </c>
      <c r="G72" s="35">
        <v>38</v>
      </c>
      <c r="H72" s="40">
        <v>17</v>
      </c>
      <c r="I72" s="38" t="s">
        <v>2637</v>
      </c>
      <c r="J72" s="34">
        <f>IFERROR(_xlfn.XLOOKUP(I72,Index!$A:$A,Index!$B:$B),"")</f>
        <v>3837</v>
      </c>
    </row>
    <row r="73" spans="1:10" x14ac:dyDescent="0.25">
      <c r="A73" s="124"/>
      <c r="B73" s="124"/>
      <c r="C73" s="124"/>
      <c r="D73" s="124"/>
      <c r="E73" s="64">
        <v>5</v>
      </c>
      <c r="F73" s="98">
        <v>125</v>
      </c>
      <c r="G73" s="35">
        <v>53</v>
      </c>
      <c r="H73" s="40">
        <v>24</v>
      </c>
      <c r="I73" s="38" t="s">
        <v>2638</v>
      </c>
      <c r="J73" s="34">
        <f>IFERROR(_xlfn.XLOOKUP(I73,Index!$A:$A,Index!$B:$B),"")</f>
        <v>4817</v>
      </c>
    </row>
    <row r="74" spans="1:10" x14ac:dyDescent="0.25">
      <c r="A74" s="124"/>
      <c r="B74" s="124"/>
      <c r="C74" s="124"/>
      <c r="D74" s="124"/>
      <c r="E74" s="64">
        <v>6</v>
      </c>
      <c r="F74" s="98">
        <v>150</v>
      </c>
      <c r="G74" s="35">
        <v>70</v>
      </c>
      <c r="H74" s="40">
        <v>32</v>
      </c>
      <c r="I74" s="38" t="s">
        <v>2639</v>
      </c>
      <c r="J74" s="34">
        <f>IFERROR(_xlfn.XLOOKUP(I74,Index!$A:$A,Index!$B:$B),"")</f>
        <v>6215</v>
      </c>
    </row>
    <row r="75" spans="1:10" x14ac:dyDescent="0.25">
      <c r="A75" s="124"/>
      <c r="B75" s="124"/>
      <c r="C75" s="124"/>
      <c r="D75" s="124"/>
      <c r="E75" s="64">
        <v>8</v>
      </c>
      <c r="F75" s="98">
        <v>200</v>
      </c>
      <c r="G75" s="35">
        <v>114</v>
      </c>
      <c r="H75" s="40">
        <v>52</v>
      </c>
      <c r="I75" s="38" t="s">
        <v>2640</v>
      </c>
      <c r="J75" s="34">
        <f>IFERROR(_xlfn.XLOOKUP(I75,Index!$A:$A,Index!$B:$B),"")</f>
        <v>9002</v>
      </c>
    </row>
    <row r="76" spans="1:10" x14ac:dyDescent="0.25">
      <c r="A76" s="124"/>
      <c r="B76" s="124"/>
      <c r="C76" s="124"/>
      <c r="D76" s="124"/>
      <c r="E76" s="64">
        <v>10</v>
      </c>
      <c r="F76" s="98">
        <v>250</v>
      </c>
      <c r="G76" s="35">
        <v>178</v>
      </c>
      <c r="H76" s="40">
        <v>81</v>
      </c>
      <c r="I76" s="38" t="s">
        <v>2641</v>
      </c>
      <c r="J76" s="34">
        <f>IFERROR(_xlfn.XLOOKUP(I76,Index!$A:$A,Index!$B:$B),"")</f>
        <v>12683</v>
      </c>
    </row>
    <row r="77" spans="1:10" x14ac:dyDescent="0.25">
      <c r="A77" s="60" t="s">
        <v>2642</v>
      </c>
      <c r="B77" s="92" t="s">
        <v>1909</v>
      </c>
      <c r="C77" s="92" t="s">
        <v>2296</v>
      </c>
      <c r="D77" s="89" t="s">
        <v>2296</v>
      </c>
      <c r="E77" s="64">
        <v>1</v>
      </c>
      <c r="F77" s="98">
        <v>25</v>
      </c>
      <c r="G77" s="35">
        <v>15</v>
      </c>
      <c r="H77" s="40">
        <v>6.8</v>
      </c>
      <c r="I77" s="38" t="s">
        <v>6216</v>
      </c>
      <c r="J77" s="34">
        <f>IFERROR(_xlfn.XLOOKUP(I77,Index!$A:$A,Index!$B:$B),"")</f>
        <v>2524</v>
      </c>
    </row>
    <row r="78" spans="1:10" x14ac:dyDescent="0.25">
      <c r="A78" s="26"/>
      <c r="B78" s="317"/>
      <c r="C78" s="317"/>
      <c r="D78" s="30"/>
      <c r="E78" s="64">
        <v>1.25</v>
      </c>
      <c r="F78" s="98">
        <v>32</v>
      </c>
      <c r="G78" s="35">
        <v>15</v>
      </c>
      <c r="H78" s="40">
        <v>6.8</v>
      </c>
      <c r="I78" s="38" t="s">
        <v>6217</v>
      </c>
      <c r="J78" s="34">
        <f>IFERROR(_xlfn.XLOOKUP(I78,Index!$A:$A,Index!$B:$B),"")</f>
        <v>2367</v>
      </c>
    </row>
    <row r="79" spans="1:10" x14ac:dyDescent="0.25">
      <c r="A79" s="26"/>
      <c r="B79" s="317"/>
      <c r="C79" s="317"/>
      <c r="D79" s="30"/>
      <c r="E79" s="64">
        <v>1.5</v>
      </c>
      <c r="F79" s="98">
        <v>40</v>
      </c>
      <c r="G79" s="35">
        <v>15</v>
      </c>
      <c r="H79" s="40">
        <v>6.8</v>
      </c>
      <c r="I79" s="38" t="s">
        <v>2643</v>
      </c>
      <c r="J79" s="34">
        <f>IFERROR(_xlfn.XLOOKUP(I79,Index!$A:$A,Index!$B:$B),"")</f>
        <v>2241</v>
      </c>
    </row>
    <row r="80" spans="1:10" x14ac:dyDescent="0.25">
      <c r="A80" s="124"/>
      <c r="B80" s="124"/>
      <c r="C80" s="124"/>
      <c r="D80" s="124"/>
      <c r="E80" s="64">
        <v>2</v>
      </c>
      <c r="F80" s="98">
        <v>50</v>
      </c>
      <c r="G80" s="35">
        <v>20</v>
      </c>
      <c r="H80" s="40">
        <v>9.1</v>
      </c>
      <c r="I80" s="38" t="s">
        <v>2644</v>
      </c>
      <c r="J80" s="34">
        <f>IFERROR(_xlfn.XLOOKUP(I80,Index!$A:$A,Index!$B:$B),"")</f>
        <v>2929</v>
      </c>
    </row>
    <row r="81" spans="1:10" x14ac:dyDescent="0.25">
      <c r="A81" s="124"/>
      <c r="B81" s="124"/>
      <c r="C81" s="124"/>
      <c r="D81" s="124"/>
      <c r="E81" s="64" t="s">
        <v>231</v>
      </c>
      <c r="F81" s="98">
        <v>65</v>
      </c>
      <c r="G81" s="35">
        <v>25</v>
      </c>
      <c r="H81" s="40">
        <v>11.3</v>
      </c>
      <c r="I81" s="38" t="s">
        <v>2645</v>
      </c>
      <c r="J81" s="34">
        <f>IFERROR(_xlfn.XLOOKUP(I81,Index!$A:$A,Index!$B:$B),"")</f>
        <v>3447</v>
      </c>
    </row>
    <row r="82" spans="1:10" x14ac:dyDescent="0.25">
      <c r="A82" s="124"/>
      <c r="B82" s="124"/>
      <c r="C82" s="124"/>
      <c r="D82" s="124"/>
      <c r="E82" s="64">
        <v>3</v>
      </c>
      <c r="F82" s="98">
        <v>80</v>
      </c>
      <c r="G82" s="35">
        <v>28</v>
      </c>
      <c r="H82" s="40">
        <v>12.7</v>
      </c>
      <c r="I82" s="38" t="s">
        <v>2646</v>
      </c>
      <c r="J82" s="34">
        <f>IFERROR(_xlfn.XLOOKUP(I82,Index!$A:$A,Index!$B:$B),"")</f>
        <v>3926</v>
      </c>
    </row>
    <row r="83" spans="1:10" x14ac:dyDescent="0.25">
      <c r="A83" s="124"/>
      <c r="B83" s="124"/>
      <c r="C83" s="124"/>
      <c r="D83" s="124"/>
      <c r="E83" s="64">
        <v>4</v>
      </c>
      <c r="F83" s="98">
        <v>100</v>
      </c>
      <c r="G83" s="35">
        <v>38</v>
      </c>
      <c r="H83" s="40">
        <v>17</v>
      </c>
      <c r="I83" s="38" t="s">
        <v>2647</v>
      </c>
      <c r="J83" s="34">
        <f>IFERROR(_xlfn.XLOOKUP(I83,Index!$A:$A,Index!$B:$B),"")</f>
        <v>5843</v>
      </c>
    </row>
    <row r="84" spans="1:10" x14ac:dyDescent="0.25">
      <c r="A84" s="124"/>
      <c r="B84" s="124"/>
      <c r="C84" s="124"/>
      <c r="D84" s="124"/>
      <c r="E84" s="64">
        <v>5</v>
      </c>
      <c r="F84" s="98">
        <v>125</v>
      </c>
      <c r="G84" s="35">
        <v>53</v>
      </c>
      <c r="H84" s="40">
        <v>24</v>
      </c>
      <c r="I84" s="38" t="s">
        <v>2648</v>
      </c>
      <c r="J84" s="34">
        <f>IFERROR(_xlfn.XLOOKUP(I84,Index!$A:$A,Index!$B:$B),"")</f>
        <v>6787</v>
      </c>
    </row>
    <row r="85" spans="1:10" x14ac:dyDescent="0.25">
      <c r="A85" s="124"/>
      <c r="B85" s="124"/>
      <c r="C85" s="124"/>
      <c r="D85" s="124"/>
      <c r="E85" s="64">
        <v>6</v>
      </c>
      <c r="F85" s="98">
        <v>150</v>
      </c>
      <c r="G85" s="35">
        <v>70</v>
      </c>
      <c r="H85" s="40">
        <v>32</v>
      </c>
      <c r="I85" s="38" t="s">
        <v>2649</v>
      </c>
      <c r="J85" s="34">
        <f>IFERROR(_xlfn.XLOOKUP(I85,Index!$A:$A,Index!$B:$B),"")</f>
        <v>8508</v>
      </c>
    </row>
    <row r="86" spans="1:10" x14ac:dyDescent="0.25">
      <c r="A86" s="124"/>
      <c r="B86" s="124"/>
      <c r="C86" s="124"/>
      <c r="D86" s="124"/>
      <c r="E86" s="64">
        <v>8</v>
      </c>
      <c r="F86" s="98">
        <v>200</v>
      </c>
      <c r="G86" s="35">
        <v>114</v>
      </c>
      <c r="H86" s="40">
        <v>52</v>
      </c>
      <c r="I86" s="38" t="s">
        <v>2650</v>
      </c>
      <c r="J86" s="34">
        <f>IFERROR(_xlfn.XLOOKUP(I86,Index!$A:$A,Index!$B:$B),"")</f>
        <v>11909</v>
      </c>
    </row>
    <row r="87" spans="1:10" x14ac:dyDescent="0.25">
      <c r="A87" s="124"/>
      <c r="B87" s="124"/>
      <c r="C87" s="124"/>
      <c r="D87" s="124"/>
      <c r="E87" s="64">
        <v>10</v>
      </c>
      <c r="F87" s="98">
        <v>250</v>
      </c>
      <c r="G87" s="35">
        <v>178</v>
      </c>
      <c r="H87" s="40">
        <v>81</v>
      </c>
      <c r="I87" s="38" t="s">
        <v>2651</v>
      </c>
      <c r="J87" s="34">
        <f>IFERROR(_xlfn.XLOOKUP(I87,Index!$A:$A,Index!$B:$B),"")</f>
        <v>16673</v>
      </c>
    </row>
    <row r="90" spans="1:10" ht="15.75" x14ac:dyDescent="0.25">
      <c r="A90" s="68" t="s">
        <v>2659</v>
      </c>
      <c r="B90" s="68" t="s">
        <v>647</v>
      </c>
      <c r="C90" s="14"/>
      <c r="D90" s="14"/>
      <c r="E90" s="14"/>
      <c r="F90" s="3"/>
      <c r="G90" s="8"/>
      <c r="H90" s="110"/>
      <c r="I90" s="111"/>
      <c r="J90" s="19"/>
    </row>
    <row r="91" spans="1:10" ht="15.75" x14ac:dyDescent="0.25">
      <c r="A91" s="48" t="s">
        <v>2660</v>
      </c>
      <c r="B91" s="11"/>
      <c r="C91" s="4"/>
      <c r="D91" s="4"/>
      <c r="E91" s="4"/>
      <c r="F91" s="4"/>
      <c r="G91" s="5"/>
      <c r="H91" s="110"/>
      <c r="I91" s="4"/>
      <c r="J91" s="19"/>
    </row>
    <row r="92" spans="1:10" ht="24" x14ac:dyDescent="0.25">
      <c r="A92" s="25" t="s">
        <v>35</v>
      </c>
      <c r="B92" s="136" t="s">
        <v>1880</v>
      </c>
      <c r="C92" s="344" t="s">
        <v>2291</v>
      </c>
      <c r="D92" s="346"/>
      <c r="E92" s="335" t="s">
        <v>38</v>
      </c>
      <c r="F92" s="336"/>
      <c r="G92" s="335" t="s">
        <v>39</v>
      </c>
      <c r="H92" s="336"/>
      <c r="I92" s="42" t="s">
        <v>40</v>
      </c>
      <c r="J92" s="24" t="s">
        <v>41</v>
      </c>
    </row>
    <row r="93" spans="1:10" x14ac:dyDescent="0.25">
      <c r="A93" s="96"/>
      <c r="B93" s="96"/>
      <c r="C93" s="32" t="s">
        <v>2292</v>
      </c>
      <c r="D93" s="147" t="s">
        <v>2293</v>
      </c>
      <c r="E93" s="33" t="s">
        <v>44</v>
      </c>
      <c r="F93" s="33" t="s">
        <v>45</v>
      </c>
      <c r="G93" s="33" t="s">
        <v>46</v>
      </c>
      <c r="H93" s="39" t="s">
        <v>47</v>
      </c>
      <c r="I93" s="33"/>
      <c r="J93" s="41"/>
    </row>
    <row r="94" spans="1:10" x14ac:dyDescent="0.25">
      <c r="A94" s="60" t="s">
        <v>2661</v>
      </c>
      <c r="B94" s="92" t="s">
        <v>2607</v>
      </c>
      <c r="C94" s="92" t="s">
        <v>2296</v>
      </c>
      <c r="D94" s="89" t="s">
        <v>2296</v>
      </c>
      <c r="E94" s="64">
        <v>2</v>
      </c>
      <c r="F94" s="98">
        <v>50</v>
      </c>
      <c r="G94" s="35">
        <v>20</v>
      </c>
      <c r="H94" s="40">
        <v>9.1</v>
      </c>
      <c r="I94" s="38" t="s">
        <v>2662</v>
      </c>
      <c r="J94" s="34">
        <f>IFERROR(_xlfn.XLOOKUP(I94,Index!$A:$A,Index!$B:$B),"")</f>
        <v>865</v>
      </c>
    </row>
    <row r="95" spans="1:10" x14ac:dyDescent="0.25">
      <c r="A95" s="124"/>
      <c r="B95" s="124"/>
      <c r="C95" s="124"/>
      <c r="D95" s="124"/>
      <c r="E95" s="64" t="s">
        <v>231</v>
      </c>
      <c r="F95" s="98">
        <v>65</v>
      </c>
      <c r="G95" s="35">
        <v>24</v>
      </c>
      <c r="H95" s="40">
        <v>10.9</v>
      </c>
      <c r="I95" s="38" t="s">
        <v>2663</v>
      </c>
      <c r="J95" s="34">
        <f>IFERROR(_xlfn.XLOOKUP(I95,Index!$A:$A,Index!$B:$B),"")</f>
        <v>1163</v>
      </c>
    </row>
    <row r="96" spans="1:10" x14ac:dyDescent="0.25">
      <c r="A96" s="124"/>
      <c r="B96" s="124"/>
      <c r="C96" s="124"/>
      <c r="D96" s="124"/>
      <c r="E96" s="64">
        <v>3</v>
      </c>
      <c r="F96" s="98">
        <v>80</v>
      </c>
      <c r="G96" s="35">
        <v>32</v>
      </c>
      <c r="H96" s="40">
        <v>14.5</v>
      </c>
      <c r="I96" s="38" t="s">
        <v>2664</v>
      </c>
      <c r="J96" s="34">
        <f>IFERROR(_xlfn.XLOOKUP(I96,Index!$A:$A,Index!$B:$B),"")</f>
        <v>1369</v>
      </c>
    </row>
    <row r="97" spans="1:10" x14ac:dyDescent="0.25">
      <c r="A97" s="124"/>
      <c r="B97" s="124"/>
      <c r="C97" s="124"/>
      <c r="D97" s="124"/>
      <c r="E97" s="64">
        <v>4</v>
      </c>
      <c r="F97" s="98">
        <v>100</v>
      </c>
      <c r="G97" s="35">
        <v>56</v>
      </c>
      <c r="H97" s="40">
        <v>25</v>
      </c>
      <c r="I97" s="38" t="s">
        <v>2665</v>
      </c>
      <c r="J97" s="34">
        <f>IFERROR(_xlfn.XLOOKUP(I97,Index!$A:$A,Index!$B:$B),"")</f>
        <v>1930</v>
      </c>
    </row>
    <row r="98" spans="1:10" x14ac:dyDescent="0.25">
      <c r="A98" s="124"/>
      <c r="B98" s="124"/>
      <c r="C98" s="124"/>
      <c r="D98" s="124"/>
      <c r="E98" s="64">
        <v>5</v>
      </c>
      <c r="F98" s="98">
        <v>125</v>
      </c>
      <c r="G98" s="35">
        <v>74</v>
      </c>
      <c r="H98" s="40">
        <v>34</v>
      </c>
      <c r="I98" s="38" t="s">
        <v>2666</v>
      </c>
      <c r="J98" s="34">
        <f>IFERROR(_xlfn.XLOOKUP(I98,Index!$A:$A,Index!$B:$B),"")</f>
        <v>2692</v>
      </c>
    </row>
    <row r="99" spans="1:10" x14ac:dyDescent="0.25">
      <c r="A99" s="124"/>
      <c r="B99" s="124"/>
      <c r="C99" s="124"/>
      <c r="D99" s="124"/>
      <c r="E99" s="64">
        <v>6</v>
      </c>
      <c r="F99" s="98">
        <v>150</v>
      </c>
      <c r="G99" s="35">
        <v>95</v>
      </c>
      <c r="H99" s="40">
        <v>43</v>
      </c>
      <c r="I99" s="38" t="s">
        <v>2667</v>
      </c>
      <c r="J99" s="34">
        <f>IFERROR(_xlfn.XLOOKUP(I99,Index!$A:$A,Index!$B:$B),"")</f>
        <v>3383</v>
      </c>
    </row>
    <row r="100" spans="1:10" x14ac:dyDescent="0.25">
      <c r="A100" s="124"/>
      <c r="B100" s="124"/>
      <c r="C100" s="124"/>
      <c r="D100" s="124"/>
      <c r="E100" s="64">
        <v>8</v>
      </c>
      <c r="F100" s="98">
        <v>200</v>
      </c>
      <c r="G100" s="35">
        <v>178</v>
      </c>
      <c r="H100" s="40">
        <v>81</v>
      </c>
      <c r="I100" s="38" t="s">
        <v>2668</v>
      </c>
      <c r="J100" s="34">
        <f>IFERROR(_xlfn.XLOOKUP(I100,Index!$A:$A,Index!$B:$B),"")</f>
        <v>6085</v>
      </c>
    </row>
    <row r="101" spans="1:10" x14ac:dyDescent="0.25">
      <c r="A101" s="124"/>
      <c r="B101" s="124"/>
      <c r="C101" s="124"/>
      <c r="D101" s="124"/>
      <c r="E101" s="64">
        <v>10</v>
      </c>
      <c r="F101" s="98">
        <v>250</v>
      </c>
      <c r="G101" s="35">
        <v>265</v>
      </c>
      <c r="H101" s="40">
        <v>120</v>
      </c>
      <c r="I101" s="38" t="s">
        <v>2669</v>
      </c>
      <c r="J101" s="34">
        <f>IFERROR(_xlfn.XLOOKUP(I101,Index!$A:$A,Index!$B:$B),"")</f>
        <v>7773</v>
      </c>
    </row>
    <row r="102" spans="1:10" x14ac:dyDescent="0.25">
      <c r="A102" s="124"/>
      <c r="B102" s="124"/>
      <c r="C102" s="124"/>
      <c r="D102" s="124"/>
      <c r="E102" s="64">
        <v>12</v>
      </c>
      <c r="F102" s="98">
        <v>300</v>
      </c>
      <c r="G102" s="35">
        <v>454</v>
      </c>
      <c r="H102" s="40">
        <v>206</v>
      </c>
      <c r="I102" s="38" t="s">
        <v>2670</v>
      </c>
      <c r="J102" s="34">
        <f>IFERROR(_xlfn.XLOOKUP(I102,Index!$A:$A,Index!$B:$B),"")</f>
        <v>12837</v>
      </c>
    </row>
    <row r="103" spans="1:10" x14ac:dyDescent="0.25">
      <c r="A103" s="124"/>
      <c r="B103" s="124"/>
      <c r="C103" s="124"/>
      <c r="D103" s="124"/>
      <c r="E103" s="64">
        <v>14</v>
      </c>
      <c r="F103" s="98">
        <v>350</v>
      </c>
      <c r="G103" s="35">
        <v>598</v>
      </c>
      <c r="H103" s="40">
        <v>271</v>
      </c>
      <c r="I103" s="38" t="s">
        <v>2671</v>
      </c>
      <c r="J103" s="34">
        <f>IFERROR(_xlfn.XLOOKUP(I103,Index!$A:$A,Index!$B:$B),"")</f>
        <v>17562</v>
      </c>
    </row>
    <row r="104" spans="1:10" x14ac:dyDescent="0.25">
      <c r="A104" s="124"/>
      <c r="B104" s="124"/>
      <c r="C104" s="124"/>
      <c r="D104" s="124"/>
      <c r="E104" s="64">
        <v>16</v>
      </c>
      <c r="F104" s="98">
        <v>400</v>
      </c>
      <c r="G104" s="35">
        <v>840</v>
      </c>
      <c r="H104" s="40">
        <v>381</v>
      </c>
      <c r="I104" s="38" t="s">
        <v>2672</v>
      </c>
      <c r="J104" s="34">
        <f>IFERROR(_xlfn.XLOOKUP(I104,Index!$A:$A,Index!$B:$B),"")</f>
        <v>19418</v>
      </c>
    </row>
    <row r="105" spans="1:10" x14ac:dyDescent="0.25">
      <c r="A105" s="124"/>
      <c r="B105" s="124"/>
      <c r="C105" s="124"/>
      <c r="D105" s="124"/>
      <c r="E105" s="64">
        <v>18</v>
      </c>
      <c r="F105" s="98">
        <v>450</v>
      </c>
      <c r="G105" s="35">
        <v>892</v>
      </c>
      <c r="H105" s="40">
        <v>405</v>
      </c>
      <c r="I105" s="38" t="s">
        <v>2673</v>
      </c>
      <c r="J105" s="34">
        <f>IFERROR(_xlfn.XLOOKUP(I105,Index!$A:$A,Index!$B:$B),"")</f>
        <v>23263</v>
      </c>
    </row>
    <row r="106" spans="1:10" x14ac:dyDescent="0.25">
      <c r="A106" s="124"/>
      <c r="B106" s="124"/>
      <c r="C106" s="124"/>
      <c r="D106" s="124"/>
      <c r="E106" s="64">
        <v>20</v>
      </c>
      <c r="F106" s="98">
        <v>500</v>
      </c>
      <c r="G106" s="35">
        <v>1140</v>
      </c>
      <c r="H106" s="40">
        <v>517</v>
      </c>
      <c r="I106" s="38" t="s">
        <v>2674</v>
      </c>
      <c r="J106" s="34">
        <f>IFERROR(_xlfn.XLOOKUP(I106,Index!$A:$A,Index!$B:$B),"")</f>
        <v>31664</v>
      </c>
    </row>
    <row r="107" spans="1:10" x14ac:dyDescent="0.25">
      <c r="A107" s="124"/>
      <c r="B107" s="124"/>
      <c r="C107" s="124"/>
      <c r="D107" s="124"/>
      <c r="E107" s="64">
        <v>24</v>
      </c>
      <c r="F107" s="98">
        <v>550</v>
      </c>
      <c r="G107" s="35">
        <v>1540</v>
      </c>
      <c r="H107" s="40">
        <v>699</v>
      </c>
      <c r="I107" s="38" t="s">
        <v>2675</v>
      </c>
      <c r="J107" s="34">
        <f>IFERROR(_xlfn.XLOOKUP(I107,Index!$A:$A,Index!$B:$B),"")</f>
        <v>39185</v>
      </c>
    </row>
    <row r="108" spans="1:10" x14ac:dyDescent="0.25">
      <c r="A108" s="60" t="s">
        <v>2676</v>
      </c>
      <c r="B108" s="92" t="s">
        <v>1900</v>
      </c>
      <c r="C108" s="92" t="s">
        <v>2296</v>
      </c>
      <c r="D108" s="89" t="s">
        <v>2296</v>
      </c>
      <c r="E108" s="64">
        <v>2</v>
      </c>
      <c r="F108" s="98">
        <v>50</v>
      </c>
      <c r="G108" s="35">
        <v>20</v>
      </c>
      <c r="H108" s="40">
        <v>9.1</v>
      </c>
      <c r="I108" s="38" t="s">
        <v>2677</v>
      </c>
      <c r="J108" s="34">
        <f>IFERROR(_xlfn.XLOOKUP(I108,Index!$A:$A,Index!$B:$B),"")</f>
        <v>2193</v>
      </c>
    </row>
    <row r="109" spans="1:10" x14ac:dyDescent="0.25">
      <c r="A109" s="124"/>
      <c r="B109" s="124"/>
      <c r="C109" s="124"/>
      <c r="D109" s="124"/>
      <c r="E109" s="64" t="s">
        <v>231</v>
      </c>
      <c r="F109" s="98">
        <v>65</v>
      </c>
      <c r="G109" s="35">
        <v>26</v>
      </c>
      <c r="H109" s="40">
        <v>11.8</v>
      </c>
      <c r="I109" s="38" t="s">
        <v>2678</v>
      </c>
      <c r="J109" s="34">
        <f>IFERROR(_xlfn.XLOOKUP(I109,Index!$A:$A,Index!$B:$B),"")</f>
        <v>2636</v>
      </c>
    </row>
    <row r="110" spans="1:10" x14ac:dyDescent="0.25">
      <c r="A110" s="124"/>
      <c r="B110" s="124"/>
      <c r="C110" s="124"/>
      <c r="D110" s="124"/>
      <c r="E110" s="64">
        <v>3</v>
      </c>
      <c r="F110" s="98">
        <v>80</v>
      </c>
      <c r="G110" s="35">
        <v>32</v>
      </c>
      <c r="H110" s="40">
        <v>14.5</v>
      </c>
      <c r="I110" s="38" t="s">
        <v>2679</v>
      </c>
      <c r="J110" s="34">
        <f>IFERROR(_xlfn.XLOOKUP(I110,Index!$A:$A,Index!$B:$B),"")</f>
        <v>2942</v>
      </c>
    </row>
    <row r="111" spans="1:10" x14ac:dyDescent="0.25">
      <c r="A111" s="124"/>
      <c r="B111" s="124"/>
      <c r="C111" s="124"/>
      <c r="D111" s="124"/>
      <c r="E111" s="64">
        <v>4</v>
      </c>
      <c r="F111" s="98">
        <v>100</v>
      </c>
      <c r="G111" s="35">
        <v>52</v>
      </c>
      <c r="H111" s="40">
        <v>24</v>
      </c>
      <c r="I111" s="38" t="s">
        <v>2680</v>
      </c>
      <c r="J111" s="34">
        <f>IFERROR(_xlfn.XLOOKUP(I111,Index!$A:$A,Index!$B:$B),"")</f>
        <v>3892</v>
      </c>
    </row>
    <row r="112" spans="1:10" x14ac:dyDescent="0.25">
      <c r="A112" s="124"/>
      <c r="B112" s="124"/>
      <c r="C112" s="124"/>
      <c r="D112" s="124"/>
      <c r="E112" s="64">
        <v>5</v>
      </c>
      <c r="F112" s="98">
        <v>125</v>
      </c>
      <c r="G112" s="35">
        <v>65</v>
      </c>
      <c r="H112" s="40">
        <v>29</v>
      </c>
      <c r="I112" s="38" t="s">
        <v>2681</v>
      </c>
      <c r="J112" s="34">
        <f>IFERROR(_xlfn.XLOOKUP(I112,Index!$A:$A,Index!$B:$B),"")</f>
        <v>4893</v>
      </c>
    </row>
    <row r="113" spans="1:12" x14ac:dyDescent="0.25">
      <c r="A113" s="124"/>
      <c r="B113" s="124"/>
      <c r="C113" s="124"/>
      <c r="D113" s="124"/>
      <c r="E113" s="64">
        <v>6</v>
      </c>
      <c r="F113" s="98">
        <v>150</v>
      </c>
      <c r="G113" s="35">
        <v>84</v>
      </c>
      <c r="H113" s="40">
        <v>38</v>
      </c>
      <c r="I113" s="38" t="s">
        <v>2682</v>
      </c>
      <c r="J113" s="34">
        <f>IFERROR(_xlfn.XLOOKUP(I113,Index!$A:$A,Index!$B:$B),"")</f>
        <v>6039</v>
      </c>
    </row>
    <row r="114" spans="1:12" x14ac:dyDescent="0.25">
      <c r="A114" s="124"/>
      <c r="B114" s="124"/>
      <c r="C114" s="124"/>
      <c r="D114" s="124"/>
      <c r="E114" s="64">
        <v>8</v>
      </c>
      <c r="F114" s="98">
        <v>200</v>
      </c>
      <c r="G114" s="35">
        <v>156</v>
      </c>
      <c r="H114" s="40">
        <v>71</v>
      </c>
      <c r="I114" s="38" t="s">
        <v>2683</v>
      </c>
      <c r="J114" s="34">
        <f>IFERROR(_xlfn.XLOOKUP(I114,Index!$A:$A,Index!$B:$B),"")</f>
        <v>8441</v>
      </c>
    </row>
    <row r="115" spans="1:12" x14ac:dyDescent="0.25">
      <c r="A115" s="124"/>
      <c r="B115" s="124"/>
      <c r="C115" s="124"/>
      <c r="D115" s="124"/>
      <c r="E115" s="64">
        <v>10</v>
      </c>
      <c r="F115" s="98">
        <v>250</v>
      </c>
      <c r="G115" s="35">
        <v>250</v>
      </c>
      <c r="H115" s="40">
        <v>113</v>
      </c>
      <c r="I115" s="38" t="s">
        <v>2684</v>
      </c>
      <c r="J115" s="34">
        <f>IFERROR(_xlfn.XLOOKUP(I115,Index!$A:$A,Index!$B:$B),"")</f>
        <v>14618</v>
      </c>
    </row>
    <row r="116" spans="1:12" x14ac:dyDescent="0.25">
      <c r="A116" s="124"/>
      <c r="B116" s="124"/>
      <c r="C116" s="124"/>
      <c r="D116" s="124"/>
      <c r="E116" s="64">
        <v>12</v>
      </c>
      <c r="F116" s="98">
        <v>300</v>
      </c>
      <c r="G116" s="35">
        <v>400</v>
      </c>
      <c r="H116" s="40">
        <v>181</v>
      </c>
      <c r="I116" s="38" t="s">
        <v>2685</v>
      </c>
      <c r="J116" s="34">
        <f>IFERROR(_xlfn.XLOOKUP(I116,Index!$A:$A,Index!$B:$B),"")</f>
        <v>17952</v>
      </c>
    </row>
    <row r="117" spans="1:12" x14ac:dyDescent="0.25">
      <c r="A117" s="124"/>
      <c r="B117" s="124"/>
      <c r="C117" s="124"/>
      <c r="D117" s="124"/>
      <c r="E117" s="64">
        <v>14</v>
      </c>
      <c r="F117" s="98">
        <v>350</v>
      </c>
      <c r="G117" s="35">
        <v>580</v>
      </c>
      <c r="H117" s="40">
        <v>263</v>
      </c>
      <c r="I117" s="38" t="s">
        <v>2686</v>
      </c>
      <c r="J117" s="34">
        <f>IFERROR(_xlfn.XLOOKUP(I117,Index!$A:$A,Index!$B:$B),"")</f>
        <v>21498</v>
      </c>
      <c r="L117" s="257"/>
    </row>
    <row r="118" spans="1:12" x14ac:dyDescent="0.25">
      <c r="A118" s="124"/>
      <c r="B118" s="124"/>
      <c r="C118" s="124"/>
      <c r="D118" s="124"/>
      <c r="E118" s="64">
        <v>16</v>
      </c>
      <c r="F118" s="98">
        <v>400</v>
      </c>
      <c r="G118" s="35">
        <v>850</v>
      </c>
      <c r="H118" s="40">
        <v>386</v>
      </c>
      <c r="I118" s="38" t="s">
        <v>2687</v>
      </c>
      <c r="J118" s="34">
        <f>IFERROR(_xlfn.XLOOKUP(I118,Index!$A:$A,Index!$B:$B),"")</f>
        <v>25178</v>
      </c>
      <c r="L118" s="257"/>
    </row>
    <row r="119" spans="1:12" x14ac:dyDescent="0.25">
      <c r="A119" s="124"/>
      <c r="B119" s="124"/>
      <c r="C119" s="124"/>
      <c r="D119" s="124"/>
      <c r="E119" s="64">
        <v>18</v>
      </c>
      <c r="F119" s="98">
        <v>450</v>
      </c>
      <c r="G119" s="35">
        <v>1100</v>
      </c>
      <c r="H119" s="40">
        <v>499</v>
      </c>
      <c r="I119" s="38" t="s">
        <v>2688</v>
      </c>
      <c r="J119" s="34">
        <f>IFERROR(_xlfn.XLOOKUP(I119,Index!$A:$A,Index!$B:$B),"")</f>
        <v>27715</v>
      </c>
      <c r="L119" s="257"/>
    </row>
    <row r="120" spans="1:12" x14ac:dyDescent="0.25">
      <c r="A120" s="60" t="s">
        <v>2689</v>
      </c>
      <c r="B120" s="92" t="s">
        <v>1909</v>
      </c>
      <c r="C120" s="92" t="s">
        <v>2296</v>
      </c>
      <c r="D120" s="89" t="s">
        <v>2296</v>
      </c>
      <c r="E120" s="64">
        <v>2</v>
      </c>
      <c r="F120" s="98">
        <v>50</v>
      </c>
      <c r="G120" s="35">
        <v>20</v>
      </c>
      <c r="H120" s="40">
        <v>9.1</v>
      </c>
      <c r="I120" s="38" t="s">
        <v>2690</v>
      </c>
      <c r="J120" s="34">
        <f>IFERROR(_xlfn.XLOOKUP(I120,Index!$A:$A,Index!$B:$B),"")</f>
        <v>3210</v>
      </c>
    </row>
    <row r="121" spans="1:12" x14ac:dyDescent="0.25">
      <c r="A121" s="124"/>
      <c r="B121" s="124"/>
      <c r="C121" s="124"/>
      <c r="D121" s="124"/>
      <c r="E121" s="64" t="s">
        <v>231</v>
      </c>
      <c r="F121" s="98">
        <v>65</v>
      </c>
      <c r="G121" s="35">
        <v>26</v>
      </c>
      <c r="H121" s="40">
        <v>11.8</v>
      </c>
      <c r="I121" s="38" t="s">
        <v>2691</v>
      </c>
      <c r="J121" s="34">
        <f>IFERROR(_xlfn.XLOOKUP(I121,Index!$A:$A,Index!$B:$B),"")</f>
        <v>3951</v>
      </c>
    </row>
    <row r="122" spans="1:12" x14ac:dyDescent="0.25">
      <c r="A122" s="124"/>
      <c r="B122" s="124"/>
      <c r="C122" s="124"/>
      <c r="D122" s="124"/>
      <c r="E122" s="64">
        <v>3</v>
      </c>
      <c r="F122" s="98">
        <v>80</v>
      </c>
      <c r="G122" s="35">
        <v>32</v>
      </c>
      <c r="H122" s="40">
        <v>14.5</v>
      </c>
      <c r="I122" s="38" t="s">
        <v>2692</v>
      </c>
      <c r="J122" s="34">
        <f>IFERROR(_xlfn.XLOOKUP(I122,Index!$A:$A,Index!$B:$B),"")</f>
        <v>4864</v>
      </c>
    </row>
    <row r="123" spans="1:12" x14ac:dyDescent="0.25">
      <c r="A123" s="124"/>
      <c r="B123" s="124"/>
      <c r="C123" s="124"/>
      <c r="D123" s="124"/>
      <c r="E123" s="64">
        <v>4</v>
      </c>
      <c r="F123" s="98">
        <v>100</v>
      </c>
      <c r="G123" s="35">
        <v>52</v>
      </c>
      <c r="H123" s="40">
        <v>24</v>
      </c>
      <c r="I123" s="38" t="s">
        <v>2693</v>
      </c>
      <c r="J123" s="34">
        <f>IFERROR(_xlfn.XLOOKUP(I123,Index!$A:$A,Index!$B:$B),"")</f>
        <v>6773</v>
      </c>
    </row>
    <row r="124" spans="1:12" x14ac:dyDescent="0.25">
      <c r="A124" s="124"/>
      <c r="B124" s="124"/>
      <c r="C124" s="124"/>
      <c r="D124" s="124"/>
      <c r="E124" s="64">
        <v>5</v>
      </c>
      <c r="F124" s="98">
        <v>125</v>
      </c>
      <c r="G124" s="35">
        <v>65</v>
      </c>
      <c r="H124" s="40">
        <v>29</v>
      </c>
      <c r="I124" s="38" t="s">
        <v>5542</v>
      </c>
      <c r="J124" s="34">
        <f>J117</f>
        <v>21498</v>
      </c>
    </row>
    <row r="125" spans="1:12" x14ac:dyDescent="0.25">
      <c r="A125" s="124"/>
      <c r="B125" s="124"/>
      <c r="C125" s="124"/>
      <c r="D125" s="124"/>
      <c r="E125" s="64">
        <v>6</v>
      </c>
      <c r="F125" s="98">
        <v>150</v>
      </c>
      <c r="G125" s="35">
        <v>84</v>
      </c>
      <c r="H125" s="40">
        <v>38</v>
      </c>
      <c r="I125" s="38" t="s">
        <v>2694</v>
      </c>
      <c r="J125" s="34">
        <f>IFERROR(_xlfn.XLOOKUP(I125,Index!$A:$A,Index!$B:$B),"")</f>
        <v>10695</v>
      </c>
    </row>
    <row r="126" spans="1:12" x14ac:dyDescent="0.25">
      <c r="A126" s="124"/>
      <c r="B126" s="124"/>
      <c r="C126" s="124"/>
      <c r="D126" s="124"/>
      <c r="E126" s="64">
        <v>8</v>
      </c>
      <c r="F126" s="98">
        <v>200</v>
      </c>
      <c r="G126" s="35">
        <v>156</v>
      </c>
      <c r="H126" s="40">
        <v>71</v>
      </c>
      <c r="I126" s="38" t="s">
        <v>2695</v>
      </c>
      <c r="J126" s="34">
        <f>IFERROR(_xlfn.XLOOKUP(I126,Index!$A:$A,Index!$B:$B),"")</f>
        <v>15120</v>
      </c>
    </row>
    <row r="127" spans="1:12" x14ac:dyDescent="0.25">
      <c r="A127" s="133"/>
      <c r="B127" s="133"/>
      <c r="C127" s="124"/>
      <c r="D127" s="133"/>
      <c r="E127" s="125">
        <v>10</v>
      </c>
      <c r="F127" s="98">
        <v>250</v>
      </c>
      <c r="G127" s="35">
        <v>250</v>
      </c>
      <c r="H127" s="40">
        <v>113</v>
      </c>
      <c r="I127" s="38" t="s">
        <v>2696</v>
      </c>
      <c r="J127" s="34">
        <f>IFERROR(_xlfn.XLOOKUP(I127,Index!$A:$A,Index!$B:$B),"")</f>
        <v>21410</v>
      </c>
    </row>
    <row r="128" spans="1:12" x14ac:dyDescent="0.25">
      <c r="A128" s="120"/>
      <c r="B128" s="120"/>
      <c r="C128" s="120"/>
      <c r="D128" s="120"/>
      <c r="E128" s="64">
        <v>12</v>
      </c>
      <c r="F128" s="98">
        <v>300</v>
      </c>
      <c r="G128" s="35"/>
      <c r="H128" s="40"/>
      <c r="I128" s="38" t="s">
        <v>2697</v>
      </c>
      <c r="J128" s="34">
        <f>IFERROR(_xlfn.XLOOKUP(I128,Index!$A:$A,Index!$B:$B),"")</f>
        <v>26336</v>
      </c>
    </row>
    <row r="130" spans="1:10" ht="15.75" x14ac:dyDescent="0.25">
      <c r="A130" s="68" t="s">
        <v>2698</v>
      </c>
      <c r="B130" s="68" t="s">
        <v>468</v>
      </c>
      <c r="C130" s="14"/>
      <c r="D130" s="14"/>
      <c r="E130" s="14"/>
      <c r="F130" s="3"/>
      <c r="G130" s="8"/>
      <c r="H130" s="110"/>
      <c r="I130" s="111"/>
      <c r="J130" s="19"/>
    </row>
    <row r="131" spans="1:10" ht="15.75" x14ac:dyDescent="0.25">
      <c r="A131" s="48" t="s">
        <v>2699</v>
      </c>
      <c r="B131" s="11"/>
      <c r="C131" s="4"/>
      <c r="D131" s="4"/>
      <c r="E131" s="4"/>
      <c r="F131" s="4"/>
      <c r="G131" s="5"/>
      <c r="H131" s="110"/>
      <c r="I131" s="4"/>
      <c r="J131" s="19"/>
    </row>
    <row r="132" spans="1:10" ht="24" x14ac:dyDescent="0.25">
      <c r="A132" s="25" t="s">
        <v>35</v>
      </c>
      <c r="B132" s="136" t="s">
        <v>1880</v>
      </c>
      <c r="C132" s="344" t="s">
        <v>2291</v>
      </c>
      <c r="D132" s="346"/>
      <c r="E132" s="335" t="s">
        <v>38</v>
      </c>
      <c r="F132" s="336"/>
      <c r="G132" s="335" t="s">
        <v>39</v>
      </c>
      <c r="H132" s="336"/>
      <c r="I132" s="42" t="s">
        <v>40</v>
      </c>
      <c r="J132" s="24" t="s">
        <v>41</v>
      </c>
    </row>
    <row r="133" spans="1:10" x14ac:dyDescent="0.25">
      <c r="A133" s="96"/>
      <c r="B133" s="96"/>
      <c r="C133" s="32" t="s">
        <v>2292</v>
      </c>
      <c r="D133" s="147" t="s">
        <v>2293</v>
      </c>
      <c r="E133" s="33" t="s">
        <v>44</v>
      </c>
      <c r="F133" s="33" t="s">
        <v>45</v>
      </c>
      <c r="G133" s="33" t="s">
        <v>46</v>
      </c>
      <c r="H133" s="39" t="s">
        <v>47</v>
      </c>
      <c r="I133" s="33"/>
      <c r="J133" s="41"/>
    </row>
    <row r="134" spans="1:10" x14ac:dyDescent="0.25">
      <c r="A134" s="60" t="s">
        <v>2700</v>
      </c>
      <c r="B134" s="92" t="s">
        <v>2607</v>
      </c>
      <c r="C134" s="92" t="s">
        <v>2296</v>
      </c>
      <c r="D134" s="89" t="s">
        <v>2296</v>
      </c>
      <c r="E134" s="64">
        <v>2</v>
      </c>
      <c r="F134" s="98">
        <v>50</v>
      </c>
      <c r="G134" s="35">
        <v>24</v>
      </c>
      <c r="H134" s="40">
        <v>10.9</v>
      </c>
      <c r="I134" s="38" t="s">
        <v>2701</v>
      </c>
      <c r="J134" s="34">
        <f>IFERROR(_xlfn.XLOOKUP(I134,Index!$A:$A,Index!$B:$B),"")</f>
        <v>656.5</v>
      </c>
    </row>
    <row r="135" spans="1:10" x14ac:dyDescent="0.25">
      <c r="A135" s="124"/>
      <c r="B135" s="124"/>
      <c r="C135" s="124"/>
      <c r="D135" s="124"/>
      <c r="E135" s="64" t="s">
        <v>231</v>
      </c>
      <c r="F135" s="98">
        <v>65</v>
      </c>
      <c r="G135" s="35">
        <v>31</v>
      </c>
      <c r="H135" s="40">
        <v>14.1</v>
      </c>
      <c r="I135" s="38" t="s">
        <v>2702</v>
      </c>
      <c r="J135" s="34">
        <f>IFERROR(_xlfn.XLOOKUP(I135,Index!$A:$A,Index!$B:$B),"")</f>
        <v>881</v>
      </c>
    </row>
    <row r="136" spans="1:10" x14ac:dyDescent="0.25">
      <c r="A136" s="124"/>
      <c r="B136" s="124"/>
      <c r="C136" s="124"/>
      <c r="D136" s="124"/>
      <c r="E136" s="64">
        <v>3</v>
      </c>
      <c r="F136" s="98">
        <v>80</v>
      </c>
      <c r="G136" s="35">
        <v>44</v>
      </c>
      <c r="H136" s="40">
        <v>20</v>
      </c>
      <c r="I136" s="38" t="s">
        <v>2703</v>
      </c>
      <c r="J136" s="34">
        <f>IFERROR(_xlfn.XLOOKUP(I136,Index!$A:$A,Index!$B:$B),"")</f>
        <v>1038</v>
      </c>
    </row>
    <row r="137" spans="1:10" x14ac:dyDescent="0.25">
      <c r="A137" s="124"/>
      <c r="B137" s="124"/>
      <c r="C137" s="124"/>
      <c r="D137" s="124"/>
      <c r="E137" s="64">
        <v>4</v>
      </c>
      <c r="F137" s="98">
        <v>100</v>
      </c>
      <c r="G137" s="35">
        <v>74</v>
      </c>
      <c r="H137" s="40">
        <v>34</v>
      </c>
      <c r="I137" s="38" t="s">
        <v>2704</v>
      </c>
      <c r="J137" s="34">
        <f>IFERROR(_xlfn.XLOOKUP(I137,Index!$A:$A,Index!$B:$B),"")</f>
        <v>1465</v>
      </c>
    </row>
    <row r="138" spans="1:10" x14ac:dyDescent="0.25">
      <c r="A138" s="124"/>
      <c r="B138" s="124"/>
      <c r="C138" s="124"/>
      <c r="D138" s="124"/>
      <c r="E138" s="64">
        <v>5</v>
      </c>
      <c r="F138" s="98">
        <v>125</v>
      </c>
      <c r="G138" s="35">
        <v>105</v>
      </c>
      <c r="H138" s="40">
        <v>48</v>
      </c>
      <c r="I138" s="38" t="s">
        <v>2705</v>
      </c>
      <c r="J138" s="34">
        <f>IFERROR(_xlfn.XLOOKUP(I138,Index!$A:$A,Index!$B:$B),"")</f>
        <v>2042</v>
      </c>
    </row>
    <row r="139" spans="1:10" x14ac:dyDescent="0.25">
      <c r="A139" s="124"/>
      <c r="B139" s="124"/>
      <c r="C139" s="124"/>
      <c r="D139" s="124"/>
      <c r="E139" s="64">
        <v>6</v>
      </c>
      <c r="F139" s="98">
        <v>150</v>
      </c>
      <c r="G139" s="35">
        <v>134</v>
      </c>
      <c r="H139" s="40">
        <v>61</v>
      </c>
      <c r="I139" s="38" t="s">
        <v>2706</v>
      </c>
      <c r="J139" s="34">
        <f>IFERROR(_xlfn.XLOOKUP(I139,Index!$A:$A,Index!$B:$B),"")</f>
        <v>2566</v>
      </c>
    </row>
    <row r="140" spans="1:10" x14ac:dyDescent="0.25">
      <c r="A140" s="124"/>
      <c r="B140" s="124"/>
      <c r="C140" s="124"/>
      <c r="D140" s="124"/>
      <c r="E140" s="64">
        <v>8</v>
      </c>
      <c r="F140" s="98">
        <v>200</v>
      </c>
      <c r="G140" s="35">
        <v>230</v>
      </c>
      <c r="H140" s="40">
        <v>104</v>
      </c>
      <c r="I140" s="38" t="s">
        <v>2707</v>
      </c>
      <c r="J140" s="34">
        <f>IFERROR(_xlfn.XLOOKUP(I140,Index!$A:$A,Index!$B:$B),"")</f>
        <v>4614</v>
      </c>
    </row>
    <row r="141" spans="1:10" x14ac:dyDescent="0.25">
      <c r="A141" s="124"/>
      <c r="B141" s="124"/>
      <c r="C141" s="124"/>
      <c r="D141" s="124"/>
      <c r="E141" s="64">
        <v>10</v>
      </c>
      <c r="F141" s="98">
        <v>250</v>
      </c>
      <c r="G141" s="35">
        <v>344</v>
      </c>
      <c r="H141" s="40">
        <v>156</v>
      </c>
      <c r="I141" s="38" t="s">
        <v>2708</v>
      </c>
      <c r="J141" s="34">
        <f>IFERROR(_xlfn.XLOOKUP(I141,Index!$A:$A,Index!$B:$B),"")</f>
        <v>5895</v>
      </c>
    </row>
    <row r="142" spans="1:10" x14ac:dyDescent="0.25">
      <c r="A142" s="124"/>
      <c r="B142" s="124"/>
      <c r="C142" s="124"/>
      <c r="D142" s="124"/>
      <c r="E142" s="64">
        <v>12</v>
      </c>
      <c r="F142" s="98">
        <v>300</v>
      </c>
      <c r="G142" s="35">
        <v>520</v>
      </c>
      <c r="H142" s="40">
        <v>236</v>
      </c>
      <c r="I142" s="38" t="s">
        <v>2709</v>
      </c>
      <c r="J142" s="34">
        <f>IFERROR(_xlfn.XLOOKUP(I142,Index!$A:$A,Index!$B:$B),"")</f>
        <v>9736</v>
      </c>
    </row>
    <row r="143" spans="1:10" x14ac:dyDescent="0.25">
      <c r="A143" s="120"/>
      <c r="B143" s="120"/>
      <c r="C143" s="120"/>
      <c r="D143" s="120"/>
      <c r="E143" s="64">
        <v>14</v>
      </c>
      <c r="F143" s="98">
        <v>350</v>
      </c>
      <c r="G143" s="35">
        <v>725</v>
      </c>
      <c r="H143" s="40">
        <v>329</v>
      </c>
      <c r="I143" s="38" t="s">
        <v>2710</v>
      </c>
      <c r="J143" s="34">
        <f>IFERROR(_xlfn.XLOOKUP(I143,Index!$A:$A,Index!$B:$B),"")</f>
        <v>13319</v>
      </c>
    </row>
    <row r="144" spans="1:10" x14ac:dyDescent="0.25">
      <c r="E144" s="80"/>
      <c r="F144" s="142"/>
      <c r="G144" s="4"/>
      <c r="H144" s="19"/>
      <c r="I144" s="19"/>
      <c r="J144" s="84"/>
    </row>
    <row r="145" spans="1:10" ht="15.75" x14ac:dyDescent="0.25">
      <c r="A145" s="68" t="s">
        <v>2711</v>
      </c>
      <c r="B145" s="68" t="s">
        <v>174</v>
      </c>
      <c r="C145" s="14"/>
      <c r="D145" s="14"/>
      <c r="E145" s="14"/>
      <c r="F145" s="3"/>
      <c r="G145" s="8"/>
      <c r="H145" s="110"/>
      <c r="I145" s="111"/>
      <c r="J145" s="19"/>
    </row>
    <row r="146" spans="1:10" ht="15.75" x14ac:dyDescent="0.25">
      <c r="A146" s="48" t="s">
        <v>2618</v>
      </c>
      <c r="B146" s="11"/>
      <c r="C146" s="4"/>
      <c r="D146" s="4"/>
      <c r="E146" s="4"/>
      <c r="F146" s="4"/>
      <c r="G146" s="5"/>
      <c r="H146" s="110"/>
      <c r="I146" s="4"/>
      <c r="J146" s="19"/>
    </row>
    <row r="147" spans="1:10" ht="24" x14ac:dyDescent="0.25">
      <c r="A147" s="25" t="s">
        <v>35</v>
      </c>
      <c r="B147" s="136" t="s">
        <v>1880</v>
      </c>
      <c r="C147" s="344" t="s">
        <v>2291</v>
      </c>
      <c r="D147" s="346"/>
      <c r="E147" s="335" t="s">
        <v>38</v>
      </c>
      <c r="F147" s="336"/>
      <c r="G147" s="335" t="s">
        <v>39</v>
      </c>
      <c r="H147" s="336"/>
      <c r="I147" s="42" t="s">
        <v>40</v>
      </c>
      <c r="J147" s="24" t="s">
        <v>41</v>
      </c>
    </row>
    <row r="148" spans="1:10" x14ac:dyDescent="0.25">
      <c r="A148" s="96"/>
      <c r="B148" s="96"/>
      <c r="C148" s="32" t="s">
        <v>2292</v>
      </c>
      <c r="D148" s="147" t="s">
        <v>2293</v>
      </c>
      <c r="E148" s="33" t="s">
        <v>44</v>
      </c>
      <c r="F148" s="33" t="s">
        <v>45</v>
      </c>
      <c r="G148" s="33" t="s">
        <v>46</v>
      </c>
      <c r="H148" s="39" t="s">
        <v>47</v>
      </c>
      <c r="I148" s="33"/>
      <c r="J148" s="41"/>
    </row>
    <row r="149" spans="1:10" x14ac:dyDescent="0.25">
      <c r="A149" s="60" t="s">
        <v>2712</v>
      </c>
      <c r="B149" s="92" t="s">
        <v>2607</v>
      </c>
      <c r="C149" s="92" t="s">
        <v>2296</v>
      </c>
      <c r="D149" s="89" t="s">
        <v>2296</v>
      </c>
      <c r="E149" s="64">
        <v>1</v>
      </c>
      <c r="F149" s="98">
        <v>25</v>
      </c>
      <c r="G149" s="35">
        <v>12</v>
      </c>
      <c r="H149" s="40">
        <v>5.4</v>
      </c>
      <c r="I149" s="38" t="s">
        <v>2713</v>
      </c>
      <c r="J149" s="34">
        <f>IFERROR(_xlfn.XLOOKUP(I149,Index!$A:$A,Index!$B:$B),"")</f>
        <v>873</v>
      </c>
    </row>
    <row r="150" spans="1:10" x14ac:dyDescent="0.25">
      <c r="A150" s="124"/>
      <c r="B150" s="124"/>
      <c r="C150" s="124"/>
      <c r="D150" s="124"/>
      <c r="E150" s="64">
        <v>1.25</v>
      </c>
      <c r="F150" s="98">
        <v>32</v>
      </c>
      <c r="G150" s="35">
        <v>16</v>
      </c>
      <c r="H150" s="40">
        <v>7.3</v>
      </c>
      <c r="I150" s="38" t="s">
        <v>2714</v>
      </c>
      <c r="J150" s="34">
        <f>IFERROR(_xlfn.XLOOKUP(I150,Index!$A:$A,Index!$B:$B),"")</f>
        <v>964</v>
      </c>
    </row>
    <row r="151" spans="1:10" x14ac:dyDescent="0.25">
      <c r="A151" s="124"/>
      <c r="B151" s="124"/>
      <c r="C151" s="124"/>
      <c r="D151" s="124"/>
      <c r="E151" s="64">
        <v>1.5</v>
      </c>
      <c r="F151" s="98">
        <v>40</v>
      </c>
      <c r="G151" s="35">
        <v>19</v>
      </c>
      <c r="H151" s="40">
        <v>8.6</v>
      </c>
      <c r="I151" s="38" t="s">
        <v>2715</v>
      </c>
      <c r="J151" s="34">
        <f>IFERROR(_xlfn.XLOOKUP(I151,Index!$A:$A,Index!$B:$B),"")</f>
        <v>1150</v>
      </c>
    </row>
    <row r="152" spans="1:10" x14ac:dyDescent="0.25">
      <c r="A152" s="124"/>
      <c r="B152" s="124"/>
      <c r="C152" s="124"/>
      <c r="D152" s="124"/>
      <c r="E152" s="64">
        <v>2</v>
      </c>
      <c r="F152" s="98">
        <v>50</v>
      </c>
      <c r="G152" s="35">
        <v>25</v>
      </c>
      <c r="H152" s="40">
        <v>11.3</v>
      </c>
      <c r="I152" s="38" t="s">
        <v>2716</v>
      </c>
      <c r="J152" s="34">
        <f>IFERROR(_xlfn.XLOOKUP(I152,Index!$A:$A,Index!$B:$B),"")</f>
        <v>1359</v>
      </c>
    </row>
    <row r="153" spans="1:10" x14ac:dyDescent="0.25">
      <c r="A153" s="124"/>
      <c r="B153" s="124"/>
      <c r="C153" s="124"/>
      <c r="D153" s="124"/>
      <c r="E153" s="64" t="s">
        <v>231</v>
      </c>
      <c r="F153" s="98">
        <v>65</v>
      </c>
      <c r="G153" s="35">
        <v>29</v>
      </c>
      <c r="H153" s="40">
        <v>13.2</v>
      </c>
      <c r="I153" s="38" t="s">
        <v>2717</v>
      </c>
      <c r="J153" s="34">
        <f>IFERROR(_xlfn.XLOOKUP(I153,Index!$A:$A,Index!$B:$B),"")</f>
        <v>1650</v>
      </c>
    </row>
    <row r="154" spans="1:10" x14ac:dyDescent="0.25">
      <c r="A154" s="124"/>
      <c r="B154" s="124"/>
      <c r="C154" s="124"/>
      <c r="D154" s="124"/>
      <c r="E154" s="64">
        <v>3</v>
      </c>
      <c r="F154" s="98">
        <v>80</v>
      </c>
      <c r="G154" s="35">
        <v>34</v>
      </c>
      <c r="H154" s="40">
        <v>15.4</v>
      </c>
      <c r="I154" s="38" t="s">
        <v>2718</v>
      </c>
      <c r="J154" s="34">
        <f>IFERROR(_xlfn.XLOOKUP(I154,Index!$A:$A,Index!$B:$B),"")</f>
        <v>1898</v>
      </c>
    </row>
    <row r="155" spans="1:10" x14ac:dyDescent="0.25">
      <c r="A155" s="124"/>
      <c r="B155" s="124"/>
      <c r="C155" s="124"/>
      <c r="D155" s="124"/>
      <c r="E155" s="64">
        <v>4</v>
      </c>
      <c r="F155" s="98">
        <v>100</v>
      </c>
      <c r="G155" s="35">
        <v>54</v>
      </c>
      <c r="H155" s="40">
        <v>24</v>
      </c>
      <c r="I155" s="38" t="s">
        <v>2719</v>
      </c>
      <c r="J155" s="34">
        <f>IFERROR(_xlfn.XLOOKUP(I155,Index!$A:$A,Index!$B:$B),"")</f>
        <v>2001</v>
      </c>
    </row>
    <row r="156" spans="1:10" x14ac:dyDescent="0.25">
      <c r="A156" s="124"/>
      <c r="B156" s="124"/>
      <c r="C156" s="124"/>
      <c r="D156" s="124"/>
      <c r="E156" s="64">
        <v>5</v>
      </c>
      <c r="F156" s="98">
        <v>125</v>
      </c>
      <c r="G156" s="35">
        <v>75</v>
      </c>
      <c r="H156" s="40">
        <v>34</v>
      </c>
      <c r="I156" s="38" t="s">
        <v>2720</v>
      </c>
      <c r="J156" s="34">
        <f>IFERROR(_xlfn.XLOOKUP(I156,Index!$A:$A,Index!$B:$B),"")</f>
        <v>3289</v>
      </c>
    </row>
    <row r="157" spans="1:10" x14ac:dyDescent="0.25">
      <c r="A157" s="124"/>
      <c r="B157" s="124"/>
      <c r="C157" s="124"/>
      <c r="D157" s="124"/>
      <c r="E157" s="64">
        <v>6</v>
      </c>
      <c r="F157" s="98">
        <v>150</v>
      </c>
      <c r="G157" s="35">
        <v>94</v>
      </c>
      <c r="H157" s="40">
        <v>43</v>
      </c>
      <c r="I157" s="38" t="s">
        <v>2721</v>
      </c>
      <c r="J157" s="34">
        <f>IFERROR(_xlfn.XLOOKUP(I157,Index!$A:$A,Index!$B:$B),"")</f>
        <v>4783</v>
      </c>
    </row>
    <row r="158" spans="1:10" x14ac:dyDescent="0.25">
      <c r="A158" s="60" t="s">
        <v>2722</v>
      </c>
      <c r="B158" s="92" t="s">
        <v>1900</v>
      </c>
      <c r="C158" s="92" t="s">
        <v>2296</v>
      </c>
      <c r="D158" s="89" t="s">
        <v>2296</v>
      </c>
      <c r="E158" s="64">
        <v>1</v>
      </c>
      <c r="F158" s="98">
        <v>25</v>
      </c>
      <c r="G158" s="35">
        <v>12</v>
      </c>
      <c r="H158" s="40">
        <v>5.4</v>
      </c>
      <c r="I158" s="38" t="s">
        <v>2723</v>
      </c>
      <c r="J158" s="34">
        <f>IFERROR(_xlfn.XLOOKUP(I158,Index!$A:$A,Index!$B:$B),"")</f>
        <v>2282</v>
      </c>
    </row>
    <row r="159" spans="1:10" x14ac:dyDescent="0.25">
      <c r="A159" s="124"/>
      <c r="B159" s="124"/>
      <c r="C159" s="124"/>
      <c r="D159" s="124"/>
      <c r="E159" s="64">
        <v>1.25</v>
      </c>
      <c r="F159" s="98">
        <v>32</v>
      </c>
      <c r="G159" s="35">
        <v>16</v>
      </c>
      <c r="H159" s="40">
        <v>7.3</v>
      </c>
      <c r="I159" s="38" t="s">
        <v>2724</v>
      </c>
      <c r="J159" s="34">
        <f>IFERROR(_xlfn.XLOOKUP(I159,Index!$A:$A,Index!$B:$B),"")</f>
        <v>2100</v>
      </c>
    </row>
    <row r="160" spans="1:10" x14ac:dyDescent="0.25">
      <c r="A160" s="124"/>
      <c r="B160" s="124"/>
      <c r="C160" s="124"/>
      <c r="D160" s="124"/>
      <c r="E160" s="64">
        <v>1.5</v>
      </c>
      <c r="F160" s="98">
        <v>40</v>
      </c>
      <c r="G160" s="35">
        <v>19</v>
      </c>
      <c r="H160" s="40">
        <v>8.6</v>
      </c>
      <c r="I160" s="38" t="s">
        <v>2725</v>
      </c>
      <c r="J160" s="34">
        <f>IFERROR(_xlfn.XLOOKUP(I160,Index!$A:$A,Index!$B:$B),"")</f>
        <v>2117</v>
      </c>
    </row>
    <row r="161" spans="1:10" x14ac:dyDescent="0.25">
      <c r="A161" s="124"/>
      <c r="B161" s="124"/>
      <c r="C161" s="124"/>
      <c r="D161" s="124"/>
      <c r="E161" s="64">
        <v>2</v>
      </c>
      <c r="F161" s="98">
        <v>50</v>
      </c>
      <c r="G161" s="35">
        <v>25</v>
      </c>
      <c r="H161" s="40">
        <v>11.3</v>
      </c>
      <c r="I161" s="38" t="s">
        <v>2726</v>
      </c>
      <c r="J161" s="34">
        <f>IFERROR(_xlfn.XLOOKUP(I161,Index!$A:$A,Index!$B:$B),"")</f>
        <v>2524</v>
      </c>
    </row>
    <row r="162" spans="1:10" x14ac:dyDescent="0.25">
      <c r="A162" s="124"/>
      <c r="B162" s="124"/>
      <c r="C162" s="124"/>
      <c r="D162" s="124"/>
      <c r="E162" s="64" t="s">
        <v>231</v>
      </c>
      <c r="F162" s="98">
        <v>65</v>
      </c>
      <c r="G162" s="35">
        <v>29</v>
      </c>
      <c r="H162" s="40">
        <v>13.2</v>
      </c>
      <c r="I162" s="38" t="s">
        <v>2727</v>
      </c>
      <c r="J162" s="34">
        <f>IFERROR(_xlfn.XLOOKUP(I162,Index!$A:$A,Index!$B:$B),"")</f>
        <v>3293</v>
      </c>
    </row>
    <row r="163" spans="1:10" x14ac:dyDescent="0.25">
      <c r="A163" s="124"/>
      <c r="B163" s="124"/>
      <c r="C163" s="124"/>
      <c r="D163" s="124"/>
      <c r="E163" s="64">
        <v>3</v>
      </c>
      <c r="F163" s="98">
        <v>80</v>
      </c>
      <c r="G163" s="35">
        <v>34</v>
      </c>
      <c r="H163" s="40">
        <v>15.4</v>
      </c>
      <c r="I163" s="38" t="s">
        <v>2728</v>
      </c>
      <c r="J163" s="34">
        <f>IFERROR(_xlfn.XLOOKUP(I163,Index!$A:$A,Index!$B:$B),"")</f>
        <v>3848</v>
      </c>
    </row>
    <row r="164" spans="1:10" x14ac:dyDescent="0.25">
      <c r="A164" s="124"/>
      <c r="B164" s="124"/>
      <c r="C164" s="124"/>
      <c r="D164" s="124"/>
      <c r="E164" s="64">
        <v>4</v>
      </c>
      <c r="F164" s="98">
        <v>100</v>
      </c>
      <c r="G164" s="35">
        <v>54</v>
      </c>
      <c r="H164" s="40">
        <v>24</v>
      </c>
      <c r="I164" s="38" t="s">
        <v>2729</v>
      </c>
      <c r="J164" s="34">
        <f>IFERROR(_xlfn.XLOOKUP(I164,Index!$A:$A,Index!$B:$B),"")</f>
        <v>4700</v>
      </c>
    </row>
    <row r="165" spans="1:10" x14ac:dyDescent="0.25">
      <c r="A165" s="124"/>
      <c r="B165" s="124"/>
      <c r="C165" s="124"/>
      <c r="D165" s="124"/>
      <c r="E165" s="64">
        <v>5</v>
      </c>
      <c r="F165" s="98">
        <v>125</v>
      </c>
      <c r="G165" s="35">
        <v>75</v>
      </c>
      <c r="H165" s="40">
        <v>34</v>
      </c>
      <c r="I165" s="38" t="s">
        <v>2730</v>
      </c>
      <c r="J165" s="34">
        <f>IFERROR(_xlfn.XLOOKUP(I165,Index!$A:$A,Index!$B:$B),"")</f>
        <v>5788</v>
      </c>
    </row>
    <row r="166" spans="1:10" x14ac:dyDescent="0.25">
      <c r="A166" s="124"/>
      <c r="B166" s="124"/>
      <c r="C166" s="124"/>
      <c r="D166" s="124"/>
      <c r="E166" s="64">
        <v>6</v>
      </c>
      <c r="F166" s="98">
        <v>150</v>
      </c>
      <c r="G166" s="35">
        <v>94</v>
      </c>
      <c r="H166" s="40">
        <v>43</v>
      </c>
      <c r="I166" s="38" t="s">
        <v>2731</v>
      </c>
      <c r="J166" s="34">
        <f>IFERROR(_xlfn.XLOOKUP(I166,Index!$A:$A,Index!$B:$B),"")</f>
        <v>7711</v>
      </c>
    </row>
    <row r="167" spans="1:10" x14ac:dyDescent="0.25">
      <c r="A167" s="124"/>
      <c r="B167" s="124"/>
      <c r="C167" s="124"/>
      <c r="D167" s="124"/>
      <c r="E167" s="64">
        <v>8</v>
      </c>
      <c r="F167" s="98">
        <v>200</v>
      </c>
      <c r="G167" s="35">
        <v>150</v>
      </c>
      <c r="H167" s="40">
        <v>68</v>
      </c>
      <c r="I167" s="38" t="s">
        <v>2732</v>
      </c>
      <c r="J167" s="34">
        <f>IFERROR(_xlfn.XLOOKUP(I167,Index!$A:$A,Index!$B:$B),"")</f>
        <v>10021</v>
      </c>
    </row>
    <row r="168" spans="1:10" x14ac:dyDescent="0.25">
      <c r="A168" s="124"/>
      <c r="B168" s="124"/>
      <c r="C168" s="124"/>
      <c r="D168" s="124"/>
      <c r="E168" s="64">
        <v>10</v>
      </c>
      <c r="F168" s="98">
        <v>250</v>
      </c>
      <c r="G168" s="35">
        <v>226</v>
      </c>
      <c r="H168" s="40">
        <v>103</v>
      </c>
      <c r="I168" s="38" t="s">
        <v>2733</v>
      </c>
      <c r="J168" s="34">
        <f>IFERROR(_xlfn.XLOOKUP(I168,Index!$A:$A,Index!$B:$B),"")</f>
        <v>13028</v>
      </c>
    </row>
    <row r="169" spans="1:10" x14ac:dyDescent="0.25">
      <c r="A169" s="60" t="s">
        <v>2734</v>
      </c>
      <c r="B169" s="92" t="s">
        <v>1909</v>
      </c>
      <c r="C169" s="92" t="s">
        <v>2296</v>
      </c>
      <c r="D169" s="89" t="s">
        <v>2296</v>
      </c>
      <c r="E169" s="64">
        <v>1</v>
      </c>
      <c r="F169" s="98">
        <v>25</v>
      </c>
      <c r="G169" s="35">
        <v>12</v>
      </c>
      <c r="H169" s="40">
        <v>5.4</v>
      </c>
      <c r="I169" s="38" t="s">
        <v>2735</v>
      </c>
      <c r="J169" s="34">
        <f>IFERROR(_xlfn.XLOOKUP(I169,Index!$A:$A,Index!$B:$B),"")</f>
        <v>3022</v>
      </c>
    </row>
    <row r="170" spans="1:10" x14ac:dyDescent="0.25">
      <c r="A170" s="124"/>
      <c r="B170" s="124"/>
      <c r="C170" s="124"/>
      <c r="D170" s="124"/>
      <c r="E170" s="64">
        <v>1.25</v>
      </c>
      <c r="F170" s="98">
        <v>32</v>
      </c>
      <c r="G170" s="35">
        <v>16</v>
      </c>
      <c r="H170" s="40">
        <v>7.3</v>
      </c>
      <c r="I170" s="38" t="s">
        <v>5542</v>
      </c>
      <c r="J170" s="34">
        <f>J169+10</f>
        <v>3032</v>
      </c>
    </row>
    <row r="171" spans="1:10" x14ac:dyDescent="0.25">
      <c r="A171" s="124"/>
      <c r="B171" s="124"/>
      <c r="C171" s="124"/>
      <c r="D171" s="124"/>
      <c r="E171" s="64">
        <v>1.5</v>
      </c>
      <c r="F171" s="98">
        <v>40</v>
      </c>
      <c r="G171" s="35">
        <v>19</v>
      </c>
      <c r="H171" s="40">
        <v>8.6</v>
      </c>
      <c r="I171" s="38" t="s">
        <v>2736</v>
      </c>
      <c r="J171" s="34">
        <f>IFERROR(_xlfn.XLOOKUP(I171,Index!$A:$A,Index!$B:$B),"")</f>
        <v>3386</v>
      </c>
    </row>
    <row r="172" spans="1:10" x14ac:dyDescent="0.25">
      <c r="A172" s="124"/>
      <c r="B172" s="124"/>
      <c r="C172" s="124"/>
      <c r="D172" s="124"/>
      <c r="E172" s="64">
        <v>2</v>
      </c>
      <c r="F172" s="98">
        <v>50</v>
      </c>
      <c r="G172" s="35">
        <v>25</v>
      </c>
      <c r="H172" s="40">
        <v>11.3</v>
      </c>
      <c r="I172" s="38" t="s">
        <v>2737</v>
      </c>
      <c r="J172" s="34">
        <f>IFERROR(_xlfn.XLOOKUP(I172,Index!$A:$A,Index!$B:$B),"")</f>
        <v>3868</v>
      </c>
    </row>
    <row r="173" spans="1:10" x14ac:dyDescent="0.25">
      <c r="A173" s="124"/>
      <c r="B173" s="124"/>
      <c r="C173" s="124"/>
      <c r="D173" s="124"/>
      <c r="E173" s="64" t="s">
        <v>231</v>
      </c>
      <c r="F173" s="98">
        <v>65</v>
      </c>
      <c r="G173" s="35">
        <v>29</v>
      </c>
      <c r="H173" s="40">
        <v>13.2</v>
      </c>
      <c r="I173" s="38" t="s">
        <v>2738</v>
      </c>
      <c r="J173" s="34">
        <f>IFERROR(_xlfn.XLOOKUP(I173,Index!$A:$A,Index!$B:$B),"")</f>
        <v>4920</v>
      </c>
    </row>
    <row r="174" spans="1:10" x14ac:dyDescent="0.25">
      <c r="A174" s="124"/>
      <c r="B174" s="124"/>
      <c r="C174" s="124"/>
      <c r="D174" s="124"/>
      <c r="E174" s="64">
        <v>3</v>
      </c>
      <c r="F174" s="98">
        <v>80</v>
      </c>
      <c r="G174" s="35">
        <v>34</v>
      </c>
      <c r="H174" s="40">
        <v>15.4</v>
      </c>
      <c r="I174" s="38" t="s">
        <v>2739</v>
      </c>
      <c r="J174" s="34">
        <f>IFERROR(_xlfn.XLOOKUP(I174,Index!$A:$A,Index!$B:$B),"")</f>
        <v>6114</v>
      </c>
    </row>
    <row r="175" spans="1:10" x14ac:dyDescent="0.25">
      <c r="A175" s="124"/>
      <c r="B175" s="124"/>
      <c r="C175" s="124"/>
      <c r="D175" s="124"/>
      <c r="E175" s="64">
        <v>4</v>
      </c>
      <c r="F175" s="98">
        <v>100</v>
      </c>
      <c r="G175" s="35">
        <v>54</v>
      </c>
      <c r="H175" s="40">
        <v>24</v>
      </c>
      <c r="I175" s="38" t="s">
        <v>2740</v>
      </c>
      <c r="J175" s="34">
        <f>IFERROR(_xlfn.XLOOKUP(I175,Index!$A:$A,Index!$B:$B),"")</f>
        <v>7459</v>
      </c>
    </row>
    <row r="176" spans="1:10" x14ac:dyDescent="0.25">
      <c r="A176" s="124"/>
      <c r="B176" s="124"/>
      <c r="C176" s="124"/>
      <c r="D176" s="124"/>
      <c r="E176" s="64">
        <v>5</v>
      </c>
      <c r="F176" s="98">
        <v>125</v>
      </c>
      <c r="G176" s="35">
        <v>75</v>
      </c>
      <c r="H176" s="40">
        <v>34</v>
      </c>
      <c r="I176" s="38" t="s">
        <v>5542</v>
      </c>
      <c r="J176" s="34">
        <f>J175+1372</f>
        <v>8831</v>
      </c>
    </row>
    <row r="177" spans="1:10" x14ac:dyDescent="0.25">
      <c r="A177" s="124"/>
      <c r="B177" s="124"/>
      <c r="C177" s="124"/>
      <c r="D177" s="124"/>
      <c r="E177" s="64">
        <v>6</v>
      </c>
      <c r="F177" s="98">
        <v>150</v>
      </c>
      <c r="G177" s="35">
        <v>94</v>
      </c>
      <c r="H177" s="40">
        <v>43</v>
      </c>
      <c r="I177" s="38" t="s">
        <v>2741</v>
      </c>
      <c r="J177" s="34">
        <f>IFERROR(_xlfn.XLOOKUP(I177,Index!$A:$A,Index!$B:$B),"")</f>
        <v>12840</v>
      </c>
    </row>
    <row r="178" spans="1:10" x14ac:dyDescent="0.25">
      <c r="A178" s="124"/>
      <c r="B178" s="124"/>
      <c r="C178" s="124"/>
      <c r="D178" s="124"/>
      <c r="E178" s="64">
        <v>8</v>
      </c>
      <c r="F178" s="98">
        <v>200</v>
      </c>
      <c r="G178" s="35">
        <v>150</v>
      </c>
      <c r="H178" s="40">
        <v>68</v>
      </c>
      <c r="I178" s="38" t="s">
        <v>5542</v>
      </c>
      <c r="J178" s="34">
        <f>J177+3082</f>
        <v>15922</v>
      </c>
    </row>
    <row r="179" spans="1:10" x14ac:dyDescent="0.25">
      <c r="A179" s="120"/>
      <c r="B179" s="120"/>
      <c r="C179" s="120"/>
      <c r="D179" s="120"/>
      <c r="E179" s="64">
        <v>10</v>
      </c>
      <c r="F179" s="98">
        <v>250</v>
      </c>
      <c r="G179" s="35">
        <v>226</v>
      </c>
      <c r="H179" s="40">
        <v>103</v>
      </c>
      <c r="I179" s="38" t="s">
        <v>5542</v>
      </c>
      <c r="J179" s="34">
        <f>J178+4007</f>
        <v>19929</v>
      </c>
    </row>
    <row r="181" spans="1:10" ht="15.75" x14ac:dyDescent="0.25">
      <c r="A181" s="68" t="s">
        <v>2742</v>
      </c>
      <c r="B181" s="68" t="s">
        <v>33</v>
      </c>
      <c r="C181" s="14"/>
      <c r="D181" s="14"/>
      <c r="E181" s="14"/>
      <c r="F181" s="3"/>
      <c r="G181" s="8"/>
      <c r="H181" s="110"/>
      <c r="I181" s="111"/>
      <c r="J181" s="19"/>
    </row>
    <row r="182" spans="1:10" ht="15.75" x14ac:dyDescent="0.25">
      <c r="A182" s="48" t="s">
        <v>2660</v>
      </c>
      <c r="B182" s="11"/>
      <c r="C182" s="4"/>
      <c r="D182" s="4"/>
      <c r="E182" s="4"/>
      <c r="F182" s="4"/>
      <c r="G182" s="5"/>
      <c r="H182" s="110"/>
      <c r="I182" s="4"/>
      <c r="J182" s="19"/>
    </row>
    <row r="183" spans="1:10" ht="24" x14ac:dyDescent="0.25">
      <c r="A183" s="25" t="s">
        <v>35</v>
      </c>
      <c r="B183" s="136" t="s">
        <v>1880</v>
      </c>
      <c r="C183" s="344" t="s">
        <v>2291</v>
      </c>
      <c r="D183" s="346"/>
      <c r="E183" s="335" t="s">
        <v>38</v>
      </c>
      <c r="F183" s="336"/>
      <c r="G183" s="335" t="s">
        <v>39</v>
      </c>
      <c r="H183" s="336"/>
      <c r="I183" s="42" t="s">
        <v>40</v>
      </c>
      <c r="J183" s="24" t="s">
        <v>41</v>
      </c>
    </row>
    <row r="184" spans="1:10" x14ac:dyDescent="0.25">
      <c r="A184" s="96"/>
      <c r="B184" s="96"/>
      <c r="C184" s="32" t="s">
        <v>2292</v>
      </c>
      <c r="D184" s="147" t="s">
        <v>2293</v>
      </c>
      <c r="E184" s="33" t="s">
        <v>44</v>
      </c>
      <c r="F184" s="33" t="s">
        <v>45</v>
      </c>
      <c r="G184" s="33" t="s">
        <v>46</v>
      </c>
      <c r="H184" s="39" t="s">
        <v>47</v>
      </c>
      <c r="I184" s="33"/>
      <c r="J184" s="41"/>
    </row>
    <row r="185" spans="1:10" x14ac:dyDescent="0.25">
      <c r="A185" s="60" t="s">
        <v>2743</v>
      </c>
      <c r="B185" s="92" t="s">
        <v>2607</v>
      </c>
      <c r="C185" s="92" t="s">
        <v>2296</v>
      </c>
      <c r="D185" s="89" t="s">
        <v>2296</v>
      </c>
      <c r="E185" s="64">
        <v>2</v>
      </c>
      <c r="F185" s="98">
        <v>50</v>
      </c>
      <c r="G185" s="35">
        <v>24</v>
      </c>
      <c r="H185" s="40">
        <v>10.9</v>
      </c>
      <c r="I185" s="38" t="s">
        <v>2744</v>
      </c>
      <c r="J185" s="34">
        <f>IFERROR(_xlfn.XLOOKUP(I185,Index!$A:$A,Index!$B:$B),"")</f>
        <v>1977</v>
      </c>
    </row>
    <row r="186" spans="1:10" x14ac:dyDescent="0.25">
      <c r="A186" s="124"/>
      <c r="B186" s="124"/>
      <c r="C186" s="124"/>
      <c r="D186" s="124"/>
      <c r="E186" s="64" t="s">
        <v>231</v>
      </c>
      <c r="F186" s="98">
        <v>65</v>
      </c>
      <c r="G186" s="35">
        <v>31</v>
      </c>
      <c r="H186" s="40">
        <v>14.1</v>
      </c>
      <c r="I186" s="38" t="s">
        <v>2745</v>
      </c>
      <c r="J186" s="34">
        <f>IFERROR(_xlfn.XLOOKUP(I186,Index!$A:$A,Index!$B:$B),"")</f>
        <v>2133</v>
      </c>
    </row>
    <row r="187" spans="1:10" x14ac:dyDescent="0.25">
      <c r="A187" s="124"/>
      <c r="B187" s="124"/>
      <c r="C187" s="124"/>
      <c r="D187" s="124"/>
      <c r="E187" s="64">
        <v>3</v>
      </c>
      <c r="F187" s="98">
        <v>80</v>
      </c>
      <c r="G187" s="35">
        <v>44</v>
      </c>
      <c r="H187" s="40">
        <v>20</v>
      </c>
      <c r="I187" s="38" t="s">
        <v>2746</v>
      </c>
      <c r="J187" s="34">
        <f>IFERROR(_xlfn.XLOOKUP(I187,Index!$A:$A,Index!$B:$B),"")</f>
        <v>2541</v>
      </c>
    </row>
    <row r="188" spans="1:10" x14ac:dyDescent="0.25">
      <c r="A188" s="124"/>
      <c r="B188" s="124"/>
      <c r="C188" s="124"/>
      <c r="D188" s="124"/>
      <c r="E188" s="64">
        <v>4</v>
      </c>
      <c r="F188" s="98">
        <v>100</v>
      </c>
      <c r="G188" s="35">
        <v>74</v>
      </c>
      <c r="H188" s="40">
        <v>34</v>
      </c>
      <c r="I188" s="38" t="s">
        <v>2747</v>
      </c>
      <c r="J188" s="34">
        <f>IFERROR(_xlfn.XLOOKUP(I188,Index!$A:$A,Index!$B:$B),"")</f>
        <v>3392</v>
      </c>
    </row>
    <row r="189" spans="1:10" x14ac:dyDescent="0.25">
      <c r="A189" s="124"/>
      <c r="B189" s="124"/>
      <c r="C189" s="124"/>
      <c r="D189" s="124"/>
      <c r="E189" s="64">
        <v>5</v>
      </c>
      <c r="F189" s="98">
        <v>125</v>
      </c>
      <c r="G189" s="35">
        <v>105</v>
      </c>
      <c r="H189" s="40">
        <v>48</v>
      </c>
      <c r="I189" s="38" t="s">
        <v>2748</v>
      </c>
      <c r="J189" s="34">
        <f>IFERROR(_xlfn.XLOOKUP(I189,Index!$A:$A,Index!$B:$B),"")</f>
        <v>4413</v>
      </c>
    </row>
    <row r="190" spans="1:10" x14ac:dyDescent="0.25">
      <c r="A190" s="124"/>
      <c r="B190" s="124"/>
      <c r="C190" s="124"/>
      <c r="D190" s="124"/>
      <c r="E190" s="64">
        <v>6</v>
      </c>
      <c r="F190" s="98">
        <v>150</v>
      </c>
      <c r="G190" s="35">
        <v>134</v>
      </c>
      <c r="H190" s="40">
        <v>61</v>
      </c>
      <c r="I190" s="38" t="s">
        <v>2749</v>
      </c>
      <c r="J190" s="34">
        <f>IFERROR(_xlfn.XLOOKUP(I190,Index!$A:$A,Index!$B:$B),"")</f>
        <v>6055</v>
      </c>
    </row>
    <row r="191" spans="1:10" x14ac:dyDescent="0.25">
      <c r="A191" s="124"/>
      <c r="B191" s="124"/>
      <c r="C191" s="124"/>
      <c r="D191" s="124"/>
      <c r="E191" s="64">
        <v>8</v>
      </c>
      <c r="F191" s="98">
        <v>200</v>
      </c>
      <c r="G191" s="35">
        <v>230</v>
      </c>
      <c r="H191" s="40">
        <v>104</v>
      </c>
      <c r="I191" s="38" t="s">
        <v>2750</v>
      </c>
      <c r="J191" s="34">
        <f>IFERROR(_xlfn.XLOOKUP(I191,Index!$A:$A,Index!$B:$B),"")</f>
        <v>7329</v>
      </c>
    </row>
    <row r="192" spans="1:10" x14ac:dyDescent="0.25">
      <c r="A192" s="124"/>
      <c r="B192" s="124"/>
      <c r="C192" s="124"/>
      <c r="D192" s="124"/>
      <c r="E192" s="64">
        <v>10</v>
      </c>
      <c r="F192" s="98">
        <v>250</v>
      </c>
      <c r="G192" s="35">
        <v>344</v>
      </c>
      <c r="H192" s="40">
        <v>156</v>
      </c>
      <c r="I192" s="38" t="s">
        <v>2751</v>
      </c>
      <c r="J192" s="34">
        <f>IFERROR(_xlfn.XLOOKUP(I192,Index!$A:$A,Index!$B:$B),"")</f>
        <v>10449</v>
      </c>
    </row>
    <row r="193" spans="1:10" x14ac:dyDescent="0.25">
      <c r="A193" s="124"/>
      <c r="B193" s="124"/>
      <c r="C193" s="124"/>
      <c r="D193" s="124"/>
      <c r="E193" s="64">
        <v>12</v>
      </c>
      <c r="F193" s="98">
        <v>300</v>
      </c>
      <c r="G193" s="35">
        <v>520</v>
      </c>
      <c r="H193" s="40">
        <v>236</v>
      </c>
      <c r="I193" s="38" t="s">
        <v>2752</v>
      </c>
      <c r="J193" s="34">
        <f>IFERROR(_xlfn.XLOOKUP(I193,Index!$A:$A,Index!$B:$B),"")</f>
        <v>17407</v>
      </c>
    </row>
    <row r="194" spans="1:10" x14ac:dyDescent="0.25">
      <c r="A194" s="124"/>
      <c r="B194" s="124"/>
      <c r="C194" s="124"/>
      <c r="D194" s="124"/>
      <c r="E194" s="64">
        <v>14</v>
      </c>
      <c r="F194" s="98">
        <v>350</v>
      </c>
      <c r="G194" s="35">
        <v>725</v>
      </c>
      <c r="H194" s="40">
        <v>329</v>
      </c>
      <c r="I194" s="38" t="s">
        <v>2753</v>
      </c>
      <c r="J194" s="34">
        <f>IFERROR(_xlfn.XLOOKUP(I194,Index!$A:$A,Index!$B:$B),"")</f>
        <v>23190</v>
      </c>
    </row>
    <row r="195" spans="1:10" x14ac:dyDescent="0.25">
      <c r="A195" s="124"/>
      <c r="B195" s="124"/>
      <c r="C195" s="124"/>
      <c r="D195" s="124"/>
      <c r="E195" s="64">
        <v>16</v>
      </c>
      <c r="F195" s="98">
        <v>400</v>
      </c>
      <c r="G195" s="35">
        <v>1000</v>
      </c>
      <c r="H195" s="40">
        <v>454</v>
      </c>
      <c r="I195" s="38" t="s">
        <v>2754</v>
      </c>
      <c r="J195" s="34">
        <f>IFERROR(_xlfn.XLOOKUP(I195,Index!$A:$A,Index!$B:$B),"")</f>
        <v>31818</v>
      </c>
    </row>
    <row r="196" spans="1:10" x14ac:dyDescent="0.25">
      <c r="A196" s="120"/>
      <c r="B196" s="120"/>
      <c r="C196" s="120"/>
      <c r="D196" s="120"/>
      <c r="E196" s="64">
        <v>18</v>
      </c>
      <c r="F196" s="98">
        <v>450</v>
      </c>
      <c r="G196" s="35">
        <v>1350</v>
      </c>
      <c r="H196" s="40">
        <v>612</v>
      </c>
      <c r="I196" s="38" t="s">
        <v>2755</v>
      </c>
      <c r="J196" s="34">
        <f>IFERROR(_xlfn.XLOOKUP(I196,Index!$A:$A,Index!$B:$B),"")</f>
        <v>41115</v>
      </c>
    </row>
    <row r="199" spans="1:10" ht="15.75" x14ac:dyDescent="0.25">
      <c r="A199" s="68" t="s">
        <v>2756</v>
      </c>
      <c r="B199" s="68" t="s">
        <v>174</v>
      </c>
      <c r="C199" s="14"/>
      <c r="D199" s="14"/>
      <c r="E199" s="14"/>
      <c r="F199" s="3"/>
      <c r="G199" s="8"/>
      <c r="H199" s="110"/>
      <c r="I199" s="111"/>
      <c r="J199" s="19"/>
    </row>
    <row r="200" spans="1:10" ht="15.75" x14ac:dyDescent="0.25">
      <c r="A200" s="48" t="s">
        <v>2660</v>
      </c>
      <c r="B200" s="11"/>
      <c r="C200" s="4"/>
      <c r="D200" s="4"/>
      <c r="E200" s="4"/>
      <c r="F200" s="4"/>
      <c r="G200" s="5"/>
      <c r="H200" s="110"/>
      <c r="I200" s="4"/>
      <c r="J200" s="19"/>
    </row>
    <row r="201" spans="1:10" ht="24" x14ac:dyDescent="0.25">
      <c r="A201" s="25" t="s">
        <v>35</v>
      </c>
      <c r="B201" s="136" t="s">
        <v>1880</v>
      </c>
      <c r="C201" s="344" t="s">
        <v>2291</v>
      </c>
      <c r="D201" s="346"/>
      <c r="E201" s="335" t="s">
        <v>38</v>
      </c>
      <c r="F201" s="336"/>
      <c r="G201" s="335" t="s">
        <v>39</v>
      </c>
      <c r="H201" s="336"/>
      <c r="I201" s="42" t="s">
        <v>40</v>
      </c>
      <c r="J201" s="24" t="s">
        <v>41</v>
      </c>
    </row>
    <row r="202" spans="1:10" x14ac:dyDescent="0.25">
      <c r="A202" s="96"/>
      <c r="B202" s="96"/>
      <c r="C202" s="32" t="s">
        <v>2292</v>
      </c>
      <c r="D202" s="147" t="s">
        <v>2293</v>
      </c>
      <c r="E202" s="33" t="s">
        <v>44</v>
      </c>
      <c r="F202" s="33" t="s">
        <v>45</v>
      </c>
      <c r="G202" s="33" t="s">
        <v>46</v>
      </c>
      <c r="H202" s="39" t="s">
        <v>47</v>
      </c>
      <c r="I202" s="33"/>
      <c r="J202" s="41"/>
    </row>
    <row r="203" spans="1:10" x14ac:dyDescent="0.25">
      <c r="A203" s="60" t="s">
        <v>2757</v>
      </c>
      <c r="B203" s="92" t="s">
        <v>1900</v>
      </c>
      <c r="C203" s="92" t="s">
        <v>2296</v>
      </c>
      <c r="D203" s="89" t="s">
        <v>2296</v>
      </c>
      <c r="E203" s="64">
        <v>2</v>
      </c>
      <c r="F203" s="98">
        <v>50</v>
      </c>
      <c r="G203" s="35">
        <v>24</v>
      </c>
      <c r="H203" s="40">
        <v>10.9</v>
      </c>
      <c r="I203" s="38" t="s">
        <v>2870</v>
      </c>
      <c r="J203" s="34">
        <f>IFERROR(_xlfn.XLOOKUP(I203,Index!$A:$A,Index!$B:$B),"")</f>
        <v>6344</v>
      </c>
    </row>
    <row r="204" spans="1:10" x14ac:dyDescent="0.25">
      <c r="A204" s="124"/>
      <c r="B204" s="124"/>
      <c r="C204" s="124"/>
      <c r="D204" s="124"/>
      <c r="E204" s="64" t="s">
        <v>231</v>
      </c>
      <c r="F204" s="98">
        <v>65</v>
      </c>
      <c r="G204" s="35">
        <v>31</v>
      </c>
      <c r="H204" s="40">
        <v>14.1</v>
      </c>
      <c r="I204" s="38" t="s">
        <v>2871</v>
      </c>
      <c r="J204" s="34">
        <f>IFERROR(_xlfn.XLOOKUP(I204,Index!$A:$A,Index!$B:$B),"")</f>
        <v>6852</v>
      </c>
    </row>
    <row r="205" spans="1:10" x14ac:dyDescent="0.25">
      <c r="A205" s="124"/>
      <c r="B205" s="124"/>
      <c r="C205" s="124"/>
      <c r="D205" s="124"/>
      <c r="E205" s="64">
        <v>3</v>
      </c>
      <c r="F205" s="98">
        <v>80</v>
      </c>
      <c r="G205" s="35">
        <v>44</v>
      </c>
      <c r="H205" s="40">
        <v>20</v>
      </c>
      <c r="I205" s="38" t="s">
        <v>2872</v>
      </c>
      <c r="J205" s="34">
        <f>IFERROR(_xlfn.XLOOKUP(I205,Index!$A:$A,Index!$B:$B),"")</f>
        <v>7740</v>
      </c>
    </row>
    <row r="206" spans="1:10" x14ac:dyDescent="0.25">
      <c r="A206" s="124"/>
      <c r="B206" s="124"/>
      <c r="C206" s="124"/>
      <c r="D206" s="124"/>
      <c r="E206" s="64">
        <v>4</v>
      </c>
      <c r="F206" s="98">
        <v>100</v>
      </c>
      <c r="G206" s="35">
        <v>74</v>
      </c>
      <c r="H206" s="40">
        <v>34</v>
      </c>
      <c r="I206" s="38" t="s">
        <v>2873</v>
      </c>
      <c r="J206" s="34">
        <f>IFERROR(_xlfn.XLOOKUP(I206,Index!$A:$A,Index!$B:$B),"")</f>
        <v>9086</v>
      </c>
    </row>
    <row r="207" spans="1:10" x14ac:dyDescent="0.25">
      <c r="A207" s="124"/>
      <c r="B207" s="124"/>
      <c r="C207" s="124"/>
      <c r="D207" s="124"/>
      <c r="E207" s="64">
        <v>5</v>
      </c>
      <c r="F207" s="98">
        <v>125</v>
      </c>
      <c r="G207" s="35">
        <v>105</v>
      </c>
      <c r="H207" s="40">
        <v>48</v>
      </c>
      <c r="I207" s="38" t="s">
        <v>2874</v>
      </c>
      <c r="J207" s="34">
        <f>IFERROR(_xlfn.XLOOKUP(I207,Index!$A:$A,Index!$B:$B),"")</f>
        <v>11612</v>
      </c>
    </row>
    <row r="208" spans="1:10" x14ac:dyDescent="0.25">
      <c r="A208" s="124"/>
      <c r="B208" s="124"/>
      <c r="C208" s="124"/>
      <c r="D208" s="124"/>
      <c r="E208" s="64">
        <v>6</v>
      </c>
      <c r="F208" s="98">
        <v>150</v>
      </c>
      <c r="G208" s="35">
        <v>134</v>
      </c>
      <c r="H208" s="40">
        <v>61</v>
      </c>
      <c r="I208" s="38" t="s">
        <v>2875</v>
      </c>
      <c r="J208" s="34">
        <f>IFERROR(_xlfn.XLOOKUP(I208,Index!$A:$A,Index!$B:$B),"")</f>
        <v>13282</v>
      </c>
    </row>
    <row r="209" spans="1:10" x14ac:dyDescent="0.25">
      <c r="A209" s="124"/>
      <c r="B209" s="124"/>
      <c r="C209" s="124"/>
      <c r="D209" s="124"/>
      <c r="E209" s="64">
        <v>8</v>
      </c>
      <c r="F209" s="98">
        <v>200</v>
      </c>
      <c r="G209" s="35">
        <v>230</v>
      </c>
      <c r="H209" s="40">
        <v>104</v>
      </c>
      <c r="I209" s="38" t="s">
        <v>2876</v>
      </c>
      <c r="J209" s="34">
        <f>IFERROR(_xlfn.XLOOKUP(I209,Index!$A:$A,Index!$B:$B),"")</f>
        <v>24950</v>
      </c>
    </row>
    <row r="210" spans="1:10" x14ac:dyDescent="0.25">
      <c r="A210" s="124"/>
      <c r="B210" s="124"/>
      <c r="C210" s="124"/>
      <c r="D210" s="124"/>
      <c r="E210" s="64">
        <v>10</v>
      </c>
      <c r="F210" s="98">
        <v>250</v>
      </c>
      <c r="G210" s="35">
        <v>344</v>
      </c>
      <c r="H210" s="40">
        <v>156</v>
      </c>
      <c r="I210" s="38" t="s">
        <v>2877</v>
      </c>
      <c r="J210" s="34">
        <f>IFERROR(_xlfn.XLOOKUP(I210,Index!$A:$A,Index!$B:$B),"")</f>
        <v>32385</v>
      </c>
    </row>
    <row r="211" spans="1:10" x14ac:dyDescent="0.25">
      <c r="A211" s="124"/>
      <c r="B211" s="124"/>
      <c r="C211" s="124"/>
      <c r="D211" s="124"/>
      <c r="E211" s="64">
        <v>12</v>
      </c>
      <c r="F211" s="98">
        <v>300</v>
      </c>
      <c r="G211" s="35">
        <v>520</v>
      </c>
      <c r="H211" s="40">
        <v>236</v>
      </c>
      <c r="I211" s="38" t="s">
        <v>2878</v>
      </c>
      <c r="J211" s="34">
        <f>IFERROR(_xlfn.XLOOKUP(I211,Index!$A:$A,Index!$B:$B),"")</f>
        <v>59671</v>
      </c>
    </row>
    <row r="212" spans="1:10" x14ac:dyDescent="0.25">
      <c r="A212" s="60" t="s">
        <v>2758</v>
      </c>
      <c r="B212" s="92" t="s">
        <v>1909</v>
      </c>
      <c r="C212" s="92" t="s">
        <v>2296</v>
      </c>
      <c r="D212" s="89" t="s">
        <v>2296</v>
      </c>
      <c r="E212" s="64">
        <v>2</v>
      </c>
      <c r="F212" s="98">
        <v>50</v>
      </c>
      <c r="G212" s="35">
        <v>24</v>
      </c>
      <c r="H212" s="40">
        <v>10.9</v>
      </c>
      <c r="I212" s="38" t="s">
        <v>2879</v>
      </c>
      <c r="J212" s="34">
        <f>IFERROR(_xlfn.XLOOKUP(I212,Index!$A:$A,Index!$B:$B),"")</f>
        <v>3024</v>
      </c>
    </row>
    <row r="213" spans="1:10" x14ac:dyDescent="0.25">
      <c r="A213" s="124"/>
      <c r="B213" s="124"/>
      <c r="C213" s="124"/>
      <c r="D213" s="124"/>
      <c r="E213" s="64" t="s">
        <v>231</v>
      </c>
      <c r="F213" s="98">
        <v>65</v>
      </c>
      <c r="G213" s="35">
        <v>31</v>
      </c>
      <c r="H213" s="40">
        <v>14.1</v>
      </c>
      <c r="I213" s="38" t="s">
        <v>2880</v>
      </c>
      <c r="J213" s="34">
        <f>IFERROR(_xlfn.XLOOKUP(I213,Index!$A:$A,Index!$B:$B),"")</f>
        <v>3764</v>
      </c>
    </row>
    <row r="214" spans="1:10" x14ac:dyDescent="0.25">
      <c r="A214" s="124"/>
      <c r="B214" s="124"/>
      <c r="C214" s="124"/>
      <c r="D214" s="124"/>
      <c r="E214" s="64">
        <v>3</v>
      </c>
      <c r="F214" s="98">
        <v>80</v>
      </c>
      <c r="G214" s="35">
        <v>44</v>
      </c>
      <c r="H214" s="40">
        <v>20</v>
      </c>
      <c r="I214" s="38" t="s">
        <v>2881</v>
      </c>
      <c r="J214" s="34">
        <f>IFERROR(_xlfn.XLOOKUP(I214,Index!$A:$A,Index!$B:$B),"")</f>
        <v>4597</v>
      </c>
    </row>
    <row r="215" spans="1:10" x14ac:dyDescent="0.25">
      <c r="A215" s="124"/>
      <c r="B215" s="124"/>
      <c r="C215" s="124"/>
      <c r="D215" s="124"/>
      <c r="E215" s="64">
        <v>4</v>
      </c>
      <c r="F215" s="98">
        <v>100</v>
      </c>
      <c r="G215" s="35">
        <v>74</v>
      </c>
      <c r="H215" s="40">
        <v>34</v>
      </c>
      <c r="I215" s="38" t="s">
        <v>2882</v>
      </c>
      <c r="J215" s="34">
        <f>IFERROR(_xlfn.XLOOKUP(I215,Index!$A:$A,Index!$B:$B),"")</f>
        <v>7296</v>
      </c>
    </row>
    <row r="216" spans="1:10" x14ac:dyDescent="0.25">
      <c r="A216" s="124"/>
      <c r="B216" s="124"/>
      <c r="C216" s="124"/>
      <c r="D216" s="124"/>
      <c r="E216" s="64">
        <v>5</v>
      </c>
      <c r="F216" s="98">
        <v>125</v>
      </c>
      <c r="G216" s="35">
        <v>105</v>
      </c>
      <c r="H216" s="40">
        <v>48</v>
      </c>
      <c r="I216" s="38" t="s">
        <v>5542</v>
      </c>
      <c r="J216" s="34">
        <f>J215+1718</f>
        <v>9014</v>
      </c>
    </row>
    <row r="217" spans="1:10" x14ac:dyDescent="0.25">
      <c r="A217" s="124"/>
      <c r="B217" s="124"/>
      <c r="C217" s="124"/>
      <c r="D217" s="124"/>
      <c r="E217" s="64">
        <v>6</v>
      </c>
      <c r="F217" s="98">
        <v>150</v>
      </c>
      <c r="G217" s="35">
        <v>134</v>
      </c>
      <c r="H217" s="40">
        <v>61</v>
      </c>
      <c r="I217" s="38" t="s">
        <v>2883</v>
      </c>
      <c r="J217" s="34">
        <f>IFERROR(_xlfn.XLOOKUP(I217,Index!$A:$A,Index!$B:$B),"")</f>
        <v>14711</v>
      </c>
    </row>
    <row r="218" spans="1:10" x14ac:dyDescent="0.25">
      <c r="A218" s="120"/>
      <c r="B218" s="120"/>
      <c r="C218" s="120"/>
      <c r="D218" s="120"/>
      <c r="E218" s="64">
        <v>8</v>
      </c>
      <c r="F218" s="98">
        <v>200</v>
      </c>
      <c r="G218" s="35">
        <v>230</v>
      </c>
      <c r="H218" s="40">
        <v>104</v>
      </c>
      <c r="I218" s="38" t="s">
        <v>2884</v>
      </c>
      <c r="J218" s="34">
        <f>IFERROR(_xlfn.XLOOKUP(I218,Index!$A:$A,Index!$B:$B),"")</f>
        <v>21915</v>
      </c>
    </row>
  </sheetData>
  <mergeCells count="26">
    <mergeCell ref="G183:H183"/>
    <mergeCell ref="E183:F183"/>
    <mergeCell ref="G201:H201"/>
    <mergeCell ref="E201:F201"/>
    <mergeCell ref="G92:H92"/>
    <mergeCell ref="E92:F92"/>
    <mergeCell ref="G132:H132"/>
    <mergeCell ref="E132:F132"/>
    <mergeCell ref="G147:H147"/>
    <mergeCell ref="E147:F147"/>
    <mergeCell ref="F19:G19"/>
    <mergeCell ref="G34:H34"/>
    <mergeCell ref="E34:F34"/>
    <mergeCell ref="E53:F53"/>
    <mergeCell ref="G53:H53"/>
    <mergeCell ref="C201:D201"/>
    <mergeCell ref="D4:E4"/>
    <mergeCell ref="B4:C4"/>
    <mergeCell ref="B19:C19"/>
    <mergeCell ref="D19:E19"/>
    <mergeCell ref="C53:D53"/>
    <mergeCell ref="C34:D34"/>
    <mergeCell ref="C92:D92"/>
    <mergeCell ref="C147:D147"/>
    <mergeCell ref="C183:D183"/>
    <mergeCell ref="C132:D132"/>
  </mergeCells>
  <conditionalFormatting sqref="E5:E15 F35:F50 F54:F87 F93:F128 F148:F179">
    <cfRule type="expression" dxfId="254" priority="101">
      <formula>E5="Not a valid item #"</formula>
    </cfRule>
    <cfRule type="expression" dxfId="253" priority="102">
      <formula>E5="Not in NPSLS"</formula>
    </cfRule>
    <cfRule type="expression" dxfId="252" priority="103">
      <formula>E5="Obsolete"</formula>
    </cfRule>
    <cfRule type="expression" dxfId="251" priority="104">
      <formula>E5=""</formula>
    </cfRule>
    <cfRule type="expression" dxfId="250" priority="105">
      <formula>E5="List Price"</formula>
    </cfRule>
  </conditionalFormatting>
  <conditionalFormatting sqref="E20:E30">
    <cfRule type="expression" dxfId="249" priority="86">
      <formula>E20="Not a valid item #"</formula>
    </cfRule>
    <cfRule type="expression" dxfId="248" priority="87">
      <formula>E20="Not in NPSLS"</formula>
    </cfRule>
    <cfRule type="expression" dxfId="247" priority="88">
      <formula>E20="Obsolete"</formula>
    </cfRule>
    <cfRule type="expression" dxfId="246" priority="89">
      <formula>E20=""</formula>
    </cfRule>
    <cfRule type="expression" dxfId="245" priority="90">
      <formula>E20="List Price"</formula>
    </cfRule>
  </conditionalFormatting>
  <conditionalFormatting sqref="F133:F144">
    <cfRule type="expression" dxfId="244" priority="26">
      <formula>F133="Not a valid item #"</formula>
    </cfRule>
    <cfRule type="expression" dxfId="243" priority="27">
      <formula>F133="Not in NPSLS"</formula>
    </cfRule>
    <cfRule type="expression" dxfId="242" priority="28">
      <formula>F133="Obsolete"</formula>
    </cfRule>
    <cfRule type="expression" dxfId="241" priority="29">
      <formula>F133=""</formula>
    </cfRule>
    <cfRule type="expression" dxfId="240" priority="30">
      <formula>F133="List Price"</formula>
    </cfRule>
  </conditionalFormatting>
  <conditionalFormatting sqref="F184:F196">
    <cfRule type="expression" dxfId="239" priority="46">
      <formula>F184="Not a valid item #"</formula>
    </cfRule>
    <cfRule type="expression" dxfId="238" priority="47">
      <formula>F184="Not in NPSLS"</formula>
    </cfRule>
    <cfRule type="expression" dxfId="237" priority="48">
      <formula>F184="Obsolete"</formula>
    </cfRule>
    <cfRule type="expression" dxfId="236" priority="49">
      <formula>F184=""</formula>
    </cfRule>
    <cfRule type="expression" dxfId="235" priority="50">
      <formula>F184="List Price"</formula>
    </cfRule>
  </conditionalFormatting>
  <conditionalFormatting sqref="F202:F218">
    <cfRule type="expression" dxfId="234" priority="16">
      <formula>F202="Not a valid item #"</formula>
    </cfRule>
    <cfRule type="expression" dxfId="233" priority="17">
      <formula>F202="Not in NPSLS"</formula>
    </cfRule>
    <cfRule type="expression" dxfId="232" priority="18">
      <formula>F202="Obsolete"</formula>
    </cfRule>
    <cfRule type="expression" dxfId="231" priority="19">
      <formula>F202=""</formula>
    </cfRule>
    <cfRule type="expression" dxfId="230" priority="20">
      <formula>F202="List Price"</formula>
    </cfRule>
  </conditionalFormatting>
  <conditionalFormatting sqref="H2:H3">
    <cfRule type="expression" dxfId="229" priority="96">
      <formula>H2="Not a valid item #"</formula>
    </cfRule>
    <cfRule type="expression" dxfId="228" priority="97">
      <formula>H2="Not in NPSLS"</formula>
    </cfRule>
    <cfRule type="expression" dxfId="227" priority="98">
      <formula>H2="Obsolete"</formula>
    </cfRule>
    <cfRule type="expression" dxfId="226" priority="99">
      <formula>H2=""</formula>
    </cfRule>
    <cfRule type="expression" dxfId="225" priority="100">
      <formula>H2="List Price"</formula>
    </cfRule>
  </conditionalFormatting>
  <conditionalFormatting sqref="H17:H18">
    <cfRule type="expression" dxfId="224" priority="81">
      <formula>H17="Not a valid item #"</formula>
    </cfRule>
    <cfRule type="expression" dxfId="223" priority="82">
      <formula>H17="Not in NPSLS"</formula>
    </cfRule>
    <cfRule type="expression" dxfId="222" priority="83">
      <formula>H17="Obsolete"</formula>
    </cfRule>
    <cfRule type="expression" dxfId="221" priority="84">
      <formula>H17=""</formula>
    </cfRule>
    <cfRule type="expression" dxfId="220" priority="85">
      <formula>H17="List Price"</formula>
    </cfRule>
  </conditionalFormatting>
  <conditionalFormatting sqref="H32:H33">
    <cfRule type="expression" dxfId="219" priority="1">
      <formula>H32="Not a valid item #"</formula>
    </cfRule>
    <cfRule type="expression" dxfId="218" priority="2">
      <formula>H32="Not in NPSLS"</formula>
    </cfRule>
    <cfRule type="expression" dxfId="217" priority="3">
      <formula>H32="Obsolete"</formula>
    </cfRule>
    <cfRule type="expression" dxfId="216" priority="4">
      <formula>H32=""</formula>
    </cfRule>
    <cfRule type="expression" dxfId="215" priority="5">
      <formula>H32="List Price"</formula>
    </cfRule>
  </conditionalFormatting>
  <conditionalFormatting sqref="H51:H52">
    <cfRule type="expression" dxfId="214" priority="71">
      <formula>H51="Not a valid item #"</formula>
    </cfRule>
    <cfRule type="expression" dxfId="213" priority="72">
      <formula>H51="Not in NPSLS"</formula>
    </cfRule>
    <cfRule type="expression" dxfId="212" priority="73">
      <formula>H51="Obsolete"</formula>
    </cfRule>
    <cfRule type="expression" dxfId="211" priority="74">
      <formula>H51=""</formula>
    </cfRule>
    <cfRule type="expression" dxfId="210" priority="75">
      <formula>H51="List Price"</formula>
    </cfRule>
  </conditionalFormatting>
  <conditionalFormatting sqref="H90:H91">
    <cfRule type="expression" dxfId="209" priority="61">
      <formula>H90="Not a valid item #"</formula>
    </cfRule>
    <cfRule type="expression" dxfId="208" priority="62">
      <formula>H90="Not in NPSLS"</formula>
    </cfRule>
    <cfRule type="expression" dxfId="207" priority="63">
      <formula>H90="Obsolete"</formula>
    </cfRule>
    <cfRule type="expression" dxfId="206" priority="64">
      <formula>H90=""</formula>
    </cfRule>
    <cfRule type="expression" dxfId="205" priority="65">
      <formula>H90="List Price"</formula>
    </cfRule>
  </conditionalFormatting>
  <conditionalFormatting sqref="H130:H131">
    <cfRule type="expression" dxfId="204" priority="21">
      <formula>H130="Not a valid item #"</formula>
    </cfRule>
    <cfRule type="expression" dxfId="203" priority="22">
      <formula>H130="Not in NPSLS"</formula>
    </cfRule>
    <cfRule type="expression" dxfId="202" priority="23">
      <formula>H130="Obsolete"</formula>
    </cfRule>
    <cfRule type="expression" dxfId="201" priority="24">
      <formula>H130=""</formula>
    </cfRule>
    <cfRule type="expression" dxfId="200" priority="25">
      <formula>H130="List Price"</formula>
    </cfRule>
  </conditionalFormatting>
  <conditionalFormatting sqref="H145:H146">
    <cfRule type="expression" dxfId="199" priority="51">
      <formula>H145="Not a valid item #"</formula>
    </cfRule>
    <cfRule type="expression" dxfId="198" priority="52">
      <formula>H145="Not in NPSLS"</formula>
    </cfRule>
    <cfRule type="expression" dxfId="197" priority="53">
      <formula>H145="Obsolete"</formula>
    </cfRule>
    <cfRule type="expression" dxfId="196" priority="54">
      <formula>H145=""</formula>
    </cfRule>
    <cfRule type="expression" dxfId="195" priority="55">
      <formula>H145="List Price"</formula>
    </cfRule>
  </conditionalFormatting>
  <conditionalFormatting sqref="H181:H182">
    <cfRule type="expression" dxfId="194" priority="41">
      <formula>H181="Not a valid item #"</formula>
    </cfRule>
    <cfRule type="expression" dxfId="193" priority="42">
      <formula>H181="Not in NPSLS"</formula>
    </cfRule>
    <cfRule type="expression" dxfId="192" priority="43">
      <formula>H181="Obsolete"</formula>
    </cfRule>
    <cfRule type="expression" dxfId="191" priority="44">
      <formula>H181=""</formula>
    </cfRule>
    <cfRule type="expression" dxfId="190" priority="45">
      <formula>H181="List Price"</formula>
    </cfRule>
  </conditionalFormatting>
  <conditionalFormatting sqref="H199:H200">
    <cfRule type="expression" dxfId="189" priority="11">
      <formula>H199="Not a valid item #"</formula>
    </cfRule>
    <cfRule type="expression" dxfId="188" priority="12">
      <formula>H199="Not in NPSLS"</formula>
    </cfRule>
    <cfRule type="expression" dxfId="187" priority="13">
      <formula>H199="Obsolete"</formula>
    </cfRule>
    <cfRule type="expression" dxfId="186" priority="14">
      <formula>H199=""</formula>
    </cfRule>
    <cfRule type="expression" dxfId="185" priority="15">
      <formula>H199="List Price"</formula>
    </cfRule>
  </conditionalFormatting>
  <hyperlinks>
    <hyperlink ref="A1" location="'Table of Contents'!A1" display="Return Home" xr:uid="{C884B239-8187-4D67-8402-48E7EAE1AAEF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3898-7035-4C2D-A71E-DD8590688A2F}">
  <sheetPr codeName="Sheet17"/>
  <dimension ref="A1:L550"/>
  <sheetViews>
    <sheetView showGridLines="0" zoomScale="90" zoomScaleNormal="90" workbookViewId="0"/>
  </sheetViews>
  <sheetFormatPr defaultRowHeight="15" x14ac:dyDescent="0.25"/>
  <cols>
    <col min="1" max="1" width="18.28515625" customWidth="1"/>
    <col min="2" max="2" width="22.7109375" customWidth="1"/>
    <col min="3" max="3" width="13.140625" customWidth="1"/>
    <col min="5" max="5" width="13.7109375" customWidth="1"/>
    <col min="6" max="6" width="10.140625" bestFit="1" customWidth="1"/>
    <col min="7" max="7" width="11.140625" bestFit="1" customWidth="1"/>
    <col min="8" max="8" width="11" bestFit="1" customWidth="1"/>
    <col min="9" max="9" width="10.28515625" bestFit="1" customWidth="1"/>
    <col min="10" max="10" width="11.28515625" bestFit="1" customWidth="1"/>
    <col min="11" max="11" width="9.85546875" bestFit="1" customWidth="1"/>
  </cols>
  <sheetData>
    <row r="1" spans="1:8" x14ac:dyDescent="0.25">
      <c r="A1" s="255" t="s">
        <v>5540</v>
      </c>
    </row>
    <row r="2" spans="1:8" ht="15.75" x14ac:dyDescent="0.25">
      <c r="A2" s="62" t="s">
        <v>2485</v>
      </c>
      <c r="B2" s="62" t="s">
        <v>468</v>
      </c>
      <c r="C2" s="14"/>
      <c r="D2" s="14"/>
      <c r="E2" s="14"/>
      <c r="F2" s="3"/>
      <c r="G2" s="8"/>
      <c r="H2" s="110"/>
    </row>
    <row r="3" spans="1:8" ht="15.75" x14ac:dyDescent="0.25">
      <c r="A3" s="48" t="s">
        <v>2486</v>
      </c>
      <c r="B3" s="11"/>
      <c r="C3" s="4"/>
      <c r="D3" s="4"/>
      <c r="E3" s="4"/>
      <c r="F3" s="4"/>
      <c r="G3" s="5"/>
      <c r="H3" s="110"/>
    </row>
    <row r="4" spans="1:8" ht="24" x14ac:dyDescent="0.25">
      <c r="A4" s="102" t="s">
        <v>35</v>
      </c>
      <c r="B4" s="140" t="s">
        <v>2487</v>
      </c>
      <c r="C4" s="335" t="s">
        <v>38</v>
      </c>
      <c r="D4" s="336"/>
      <c r="E4" s="337" t="s">
        <v>39</v>
      </c>
      <c r="F4" s="336"/>
      <c r="G4" s="42" t="s">
        <v>40</v>
      </c>
      <c r="H4" s="24" t="s">
        <v>41</v>
      </c>
    </row>
    <row r="5" spans="1:8" x14ac:dyDescent="0.25">
      <c r="A5" s="96"/>
      <c r="B5" s="96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</row>
    <row r="6" spans="1:8" x14ac:dyDescent="0.25">
      <c r="A6" s="60" t="s">
        <v>2488</v>
      </c>
      <c r="B6" s="60" t="s">
        <v>2297</v>
      </c>
      <c r="C6" s="64">
        <v>2</v>
      </c>
      <c r="D6" s="98">
        <v>50</v>
      </c>
      <c r="E6" s="35">
        <v>7</v>
      </c>
      <c r="F6" s="40">
        <v>3.2</v>
      </c>
      <c r="G6" s="38" t="s">
        <v>2489</v>
      </c>
      <c r="H6" s="34">
        <f>IFERROR(_xlfn.XLOOKUP(G6,Index!$A:$A,Index!$B:$B),"")</f>
        <v>1813</v>
      </c>
    </row>
    <row r="7" spans="1:8" x14ac:dyDescent="0.25">
      <c r="A7" s="99"/>
      <c r="B7" s="99"/>
      <c r="C7" s="125" t="s">
        <v>231</v>
      </c>
      <c r="D7" s="98">
        <v>65</v>
      </c>
      <c r="E7" s="35">
        <v>11</v>
      </c>
      <c r="F7" s="40">
        <v>5</v>
      </c>
      <c r="G7" s="38" t="s">
        <v>2490</v>
      </c>
      <c r="H7" s="34">
        <f>IFERROR(_xlfn.XLOOKUP(G7,Index!$A:$A,Index!$B:$B),"")</f>
        <v>2717</v>
      </c>
    </row>
    <row r="8" spans="1:8" x14ac:dyDescent="0.25">
      <c r="A8" s="99"/>
      <c r="B8" s="99"/>
      <c r="C8" s="125">
        <v>3</v>
      </c>
      <c r="D8" s="98">
        <v>80</v>
      </c>
      <c r="E8" s="35">
        <v>12</v>
      </c>
      <c r="F8" s="40">
        <v>5.4</v>
      </c>
      <c r="G8" s="38" t="s">
        <v>2491</v>
      </c>
      <c r="H8" s="34">
        <f>IFERROR(_xlfn.XLOOKUP(G8,Index!$A:$A,Index!$B:$B),"")</f>
        <v>2717</v>
      </c>
    </row>
    <row r="9" spans="1:8" x14ac:dyDescent="0.25">
      <c r="A9" s="99"/>
      <c r="B9" s="99"/>
      <c r="C9" s="125">
        <v>4</v>
      </c>
      <c r="D9" s="98">
        <v>100</v>
      </c>
      <c r="E9" s="35">
        <v>15</v>
      </c>
      <c r="F9" s="40">
        <v>6.8</v>
      </c>
      <c r="G9" s="38" t="s">
        <v>2492</v>
      </c>
      <c r="H9" s="34">
        <f>IFERROR(_xlfn.XLOOKUP(G9,Index!$A:$A,Index!$B:$B),"")</f>
        <v>3785</v>
      </c>
    </row>
    <row r="10" spans="1:8" x14ac:dyDescent="0.25">
      <c r="A10" s="99"/>
      <c r="B10" s="99"/>
      <c r="C10" s="125">
        <v>5</v>
      </c>
      <c r="D10" s="98">
        <v>125</v>
      </c>
      <c r="E10" s="35">
        <v>27</v>
      </c>
      <c r="F10" s="40">
        <v>12.2</v>
      </c>
      <c r="G10" s="38" t="s">
        <v>2493</v>
      </c>
      <c r="H10" s="34">
        <f>IFERROR(_xlfn.XLOOKUP(G10,Index!$A:$A,Index!$B:$B),"")</f>
        <v>4825</v>
      </c>
    </row>
    <row r="11" spans="1:8" x14ac:dyDescent="0.25">
      <c r="A11" s="99"/>
      <c r="B11" s="99"/>
      <c r="C11" s="125">
        <v>6</v>
      </c>
      <c r="D11" s="98">
        <v>150</v>
      </c>
      <c r="E11" s="35">
        <v>38</v>
      </c>
      <c r="F11" s="40">
        <v>17.2</v>
      </c>
      <c r="G11" s="38" t="s">
        <v>2494</v>
      </c>
      <c r="H11" s="34">
        <f>IFERROR(_xlfn.XLOOKUP(G11,Index!$A:$A,Index!$B:$B),"")</f>
        <v>5196</v>
      </c>
    </row>
    <row r="12" spans="1:8" x14ac:dyDescent="0.25">
      <c r="A12" s="99"/>
      <c r="B12" s="99"/>
      <c r="C12" s="125">
        <v>8</v>
      </c>
      <c r="D12" s="98">
        <v>200</v>
      </c>
      <c r="E12" s="35">
        <v>60</v>
      </c>
      <c r="F12" s="40">
        <v>27.2</v>
      </c>
      <c r="G12" s="38" t="s">
        <v>2495</v>
      </c>
      <c r="H12" s="34">
        <f>IFERROR(_xlfn.XLOOKUP(G12,Index!$A:$A,Index!$B:$B),"")</f>
        <v>6325</v>
      </c>
    </row>
    <row r="13" spans="1:8" x14ac:dyDescent="0.25">
      <c r="A13" s="99"/>
      <c r="B13" s="99"/>
      <c r="C13" s="125">
        <v>10</v>
      </c>
      <c r="D13" s="98">
        <v>250</v>
      </c>
      <c r="E13" s="35">
        <v>86</v>
      </c>
      <c r="F13" s="40">
        <v>39</v>
      </c>
      <c r="G13" s="38" t="s">
        <v>2496</v>
      </c>
      <c r="H13" s="34">
        <f>IFERROR(_xlfn.XLOOKUP(G13,Index!$A:$A,Index!$B:$B),"")</f>
        <v>7953</v>
      </c>
    </row>
    <row r="14" spans="1:8" x14ac:dyDescent="0.25">
      <c r="A14" s="99"/>
      <c r="B14" s="99"/>
      <c r="C14" s="125">
        <v>12</v>
      </c>
      <c r="D14" s="98">
        <v>300</v>
      </c>
      <c r="E14" s="35">
        <v>168</v>
      </c>
      <c r="F14" s="40">
        <v>76.2</v>
      </c>
      <c r="G14" s="38" t="s">
        <v>2497</v>
      </c>
      <c r="H14" s="34">
        <f>IFERROR(_xlfn.XLOOKUP(G14,Index!$A:$A,Index!$B:$B),"")</f>
        <v>15755</v>
      </c>
    </row>
    <row r="15" spans="1:8" x14ac:dyDescent="0.25">
      <c r="A15" s="99"/>
      <c r="B15" s="99"/>
      <c r="C15" s="125">
        <v>14</v>
      </c>
      <c r="D15" s="98">
        <v>350</v>
      </c>
      <c r="E15" s="35"/>
      <c r="F15" s="40"/>
      <c r="G15" s="38" t="s">
        <v>2498</v>
      </c>
      <c r="H15" s="34">
        <f>IFERROR(_xlfn.XLOOKUP(G15,Index!$A:$A,Index!$B:$B),"")</f>
        <v>19691</v>
      </c>
    </row>
    <row r="16" spans="1:8" x14ac:dyDescent="0.25">
      <c r="A16" s="121"/>
      <c r="B16" s="121"/>
      <c r="C16" s="125">
        <v>16</v>
      </c>
      <c r="D16" s="98">
        <v>400</v>
      </c>
      <c r="E16" s="35"/>
      <c r="F16" s="40"/>
      <c r="G16" s="38" t="s">
        <v>2499</v>
      </c>
      <c r="H16" s="34">
        <f>IFERROR(_xlfn.XLOOKUP(G16,Index!$A:$A,Index!$B:$B),"")</f>
        <v>24614</v>
      </c>
    </row>
    <row r="17" spans="1:12" x14ac:dyDescent="0.25">
      <c r="A17" s="12"/>
      <c r="B17" s="80"/>
      <c r="C17" s="142"/>
      <c r="D17" s="4"/>
      <c r="E17" s="19"/>
      <c r="F17" s="19"/>
      <c r="G17" s="84"/>
    </row>
    <row r="18" spans="1:12" ht="15.75" x14ac:dyDescent="0.25">
      <c r="A18" s="62" t="s">
        <v>2485</v>
      </c>
      <c r="B18" s="62"/>
      <c r="C18" s="14"/>
      <c r="D18" s="14"/>
      <c r="E18" s="14"/>
      <c r="F18" s="3"/>
      <c r="G18" s="8"/>
      <c r="H18" s="110"/>
      <c r="I18" s="111"/>
      <c r="J18" s="19"/>
      <c r="K18" s="19"/>
    </row>
    <row r="19" spans="1:12" ht="15.75" x14ac:dyDescent="0.25">
      <c r="A19" s="48" t="s">
        <v>102</v>
      </c>
      <c r="B19" s="11"/>
      <c r="C19" s="4"/>
      <c r="D19" s="4"/>
      <c r="E19" s="4"/>
      <c r="F19" s="4"/>
      <c r="G19" s="5"/>
      <c r="H19" s="110"/>
      <c r="I19" s="4"/>
      <c r="J19" s="19"/>
      <c r="K19" s="19"/>
    </row>
    <row r="20" spans="1:12" ht="24" x14ac:dyDescent="0.25">
      <c r="A20" s="102" t="s">
        <v>35</v>
      </c>
      <c r="B20" s="140" t="s">
        <v>103</v>
      </c>
      <c r="C20" s="335" t="s">
        <v>38</v>
      </c>
      <c r="D20" s="336"/>
      <c r="E20" s="42" t="s">
        <v>40</v>
      </c>
      <c r="F20" s="24" t="s">
        <v>41</v>
      </c>
    </row>
    <row r="21" spans="1:12" x14ac:dyDescent="0.25">
      <c r="A21" s="96"/>
      <c r="B21" s="96"/>
      <c r="C21" s="33" t="s">
        <v>44</v>
      </c>
      <c r="D21" s="33" t="s">
        <v>45</v>
      </c>
      <c r="E21" s="104"/>
      <c r="F21" s="138"/>
    </row>
    <row r="22" spans="1:12" ht="15" customHeight="1" x14ac:dyDescent="0.25">
      <c r="A22" s="146" t="s">
        <v>2488</v>
      </c>
      <c r="B22" s="146" t="s">
        <v>2292</v>
      </c>
      <c r="C22" s="64">
        <v>2</v>
      </c>
      <c r="D22" s="98">
        <v>50</v>
      </c>
      <c r="E22" s="38" t="s">
        <v>2890</v>
      </c>
      <c r="F22" s="34">
        <f>IFERROR(_xlfn.XLOOKUP(E22,Index!$A:$A,Index!$B:$B),"")</f>
        <v>416</v>
      </c>
      <c r="J22" s="347"/>
      <c r="K22" s="347"/>
      <c r="L22" s="347"/>
    </row>
    <row r="23" spans="1:12" x14ac:dyDescent="0.25">
      <c r="A23" s="99"/>
      <c r="B23" s="144"/>
      <c r="C23" s="64" t="s">
        <v>231</v>
      </c>
      <c r="D23" s="98">
        <v>65</v>
      </c>
      <c r="E23" s="38" t="s">
        <v>2895</v>
      </c>
      <c r="F23" s="34">
        <f>IFERROR(_xlfn.XLOOKUP(E23,Index!$A:$A,Index!$B:$B),"")</f>
        <v>664.5</v>
      </c>
      <c r="J23" s="347"/>
      <c r="K23" s="347"/>
      <c r="L23" s="347"/>
    </row>
    <row r="24" spans="1:12" x14ac:dyDescent="0.25">
      <c r="A24" s="99"/>
      <c r="B24" s="99"/>
      <c r="C24" s="36">
        <v>3</v>
      </c>
      <c r="D24" s="98">
        <v>80</v>
      </c>
      <c r="E24" s="38" t="s">
        <v>2899</v>
      </c>
      <c r="F24" s="34">
        <f>IFERROR(_xlfn.XLOOKUP(E24,Index!$A:$A,Index!$B:$B),"")</f>
        <v>664.5</v>
      </c>
    </row>
    <row r="25" spans="1:12" x14ac:dyDescent="0.25">
      <c r="A25" s="99"/>
      <c r="B25" s="99"/>
      <c r="C25" s="36">
        <v>4</v>
      </c>
      <c r="D25" s="98">
        <v>100</v>
      </c>
      <c r="E25" s="38" t="s">
        <v>2904</v>
      </c>
      <c r="F25" s="34">
        <f>IFERROR(_xlfn.XLOOKUP(E25,Index!$A:$A,Index!$B:$B),"")</f>
        <v>747.5</v>
      </c>
    </row>
    <row r="26" spans="1:12" x14ac:dyDescent="0.25">
      <c r="A26" s="99"/>
      <c r="B26" s="99"/>
      <c r="C26" s="36">
        <v>5</v>
      </c>
      <c r="D26" s="98">
        <v>125</v>
      </c>
      <c r="E26" s="38" t="s">
        <v>2909</v>
      </c>
      <c r="F26" s="34">
        <f>IFERROR(_xlfn.XLOOKUP(E26,Index!$A:$A,Index!$B:$B),"")</f>
        <v>914</v>
      </c>
    </row>
    <row r="27" spans="1:12" x14ac:dyDescent="0.25">
      <c r="A27" s="99"/>
      <c r="B27" s="99"/>
      <c r="C27" s="36">
        <v>6</v>
      </c>
      <c r="D27" s="98">
        <v>150</v>
      </c>
      <c r="E27" s="38" t="s">
        <v>2914</v>
      </c>
      <c r="F27" s="34">
        <f>IFERROR(_xlfn.XLOOKUP(E27,Index!$A:$A,Index!$B:$B),"")</f>
        <v>914</v>
      </c>
    </row>
    <row r="28" spans="1:12" x14ac:dyDescent="0.25">
      <c r="A28" s="99"/>
      <c r="B28" s="99"/>
      <c r="C28" s="36">
        <v>8</v>
      </c>
      <c r="D28" s="98">
        <v>200</v>
      </c>
      <c r="E28" s="38" t="s">
        <v>2918</v>
      </c>
      <c r="F28" s="34">
        <f>IFERROR(_xlfn.XLOOKUP(E28,Index!$A:$A,Index!$B:$B),"")</f>
        <v>1329</v>
      </c>
    </row>
    <row r="29" spans="1:12" x14ac:dyDescent="0.25">
      <c r="A29" s="99"/>
      <c r="B29" s="99"/>
      <c r="C29" s="36">
        <v>10</v>
      </c>
      <c r="D29" s="98">
        <v>250</v>
      </c>
      <c r="E29" s="38" t="s">
        <v>2923</v>
      </c>
      <c r="F29" s="34">
        <f>IFERROR(_xlfn.XLOOKUP(E29,Index!$A:$A,Index!$B:$B),"")</f>
        <v>2012</v>
      </c>
    </row>
    <row r="30" spans="1:12" x14ac:dyDescent="0.25">
      <c r="A30" s="99"/>
      <c r="B30" s="99"/>
      <c r="C30" s="36">
        <v>12</v>
      </c>
      <c r="D30" s="98">
        <v>300</v>
      </c>
      <c r="E30" s="38" t="s">
        <v>2927</v>
      </c>
      <c r="F30" s="34">
        <f>IFERROR(_xlfn.XLOOKUP(E30,Index!$A:$A,Index!$B:$B),"")</f>
        <v>3322</v>
      </c>
    </row>
    <row r="31" spans="1:12" x14ac:dyDescent="0.25">
      <c r="A31" s="99"/>
      <c r="B31" s="99"/>
      <c r="C31" s="36">
        <v>14</v>
      </c>
      <c r="D31" s="98">
        <v>250</v>
      </c>
      <c r="E31" s="38" t="s">
        <v>2927</v>
      </c>
      <c r="F31" s="34">
        <f>IFERROR(_xlfn.XLOOKUP(E31,Index!$A:$A,Index!$B:$B),"")</f>
        <v>3322</v>
      </c>
    </row>
    <row r="32" spans="1:12" x14ac:dyDescent="0.25">
      <c r="A32" s="121"/>
      <c r="B32" s="121"/>
      <c r="C32" s="36">
        <v>16</v>
      </c>
      <c r="D32" s="98">
        <v>300</v>
      </c>
      <c r="E32" s="38" t="s">
        <v>2931</v>
      </c>
      <c r="F32" s="34">
        <f>IFERROR(_xlfn.XLOOKUP(E32,Index!$A:$A,Index!$B:$B),"")</f>
        <v>8303</v>
      </c>
      <c r="G32" s="111"/>
      <c r="H32" s="19"/>
      <c r="I32" s="19"/>
    </row>
    <row r="33" spans="1:9" x14ac:dyDescent="0.25">
      <c r="A33" s="99"/>
      <c r="B33" s="146" t="s">
        <v>2294</v>
      </c>
      <c r="C33" s="64">
        <v>2</v>
      </c>
      <c r="D33" s="98">
        <v>50</v>
      </c>
      <c r="E33" s="38" t="s">
        <v>2892</v>
      </c>
      <c r="F33" s="34">
        <f>IFERROR(_xlfn.XLOOKUP(E33,Index!$A:$A,Index!$B:$B),"")</f>
        <v>250</v>
      </c>
      <c r="G33" s="4"/>
      <c r="H33" s="19"/>
      <c r="I33" s="19"/>
    </row>
    <row r="34" spans="1:9" x14ac:dyDescent="0.25">
      <c r="A34" s="99"/>
      <c r="B34" s="144"/>
      <c r="C34" s="64" t="s">
        <v>231</v>
      </c>
      <c r="D34" s="98">
        <v>65</v>
      </c>
      <c r="E34" s="38" t="s">
        <v>2897</v>
      </c>
      <c r="F34" s="34">
        <f>IFERROR(_xlfn.XLOOKUP(E34,Index!$A:$A,Index!$B:$B),"")</f>
        <v>250</v>
      </c>
    </row>
    <row r="35" spans="1:9" x14ac:dyDescent="0.25">
      <c r="A35" s="99"/>
      <c r="B35" s="99"/>
      <c r="C35" s="36">
        <v>3</v>
      </c>
      <c r="D35" s="98">
        <v>80</v>
      </c>
      <c r="E35" s="38" t="s">
        <v>2901</v>
      </c>
      <c r="F35" s="34">
        <f>IFERROR(_xlfn.XLOOKUP(E35,Index!$A:$A,Index!$B:$B),"")</f>
        <v>250</v>
      </c>
    </row>
    <row r="36" spans="1:9" x14ac:dyDescent="0.25">
      <c r="A36" s="99"/>
      <c r="B36" s="99"/>
      <c r="C36" s="36">
        <v>4</v>
      </c>
      <c r="D36" s="98">
        <v>100</v>
      </c>
      <c r="E36" s="38" t="s">
        <v>2908</v>
      </c>
      <c r="F36" s="34">
        <f>IFERROR(_xlfn.XLOOKUP(E36,Index!$A:$A,Index!$B:$B),"")</f>
        <v>332.5</v>
      </c>
    </row>
    <row r="37" spans="1:9" x14ac:dyDescent="0.25">
      <c r="A37" s="99"/>
      <c r="B37" s="99"/>
      <c r="C37" s="36">
        <v>5</v>
      </c>
      <c r="D37" s="98">
        <v>125</v>
      </c>
      <c r="E37" s="38" t="s">
        <v>2912</v>
      </c>
      <c r="F37" s="34">
        <f>IFERROR(_xlfn.XLOOKUP(E37,Index!$A:$A,Index!$B:$B),"")</f>
        <v>332.5</v>
      </c>
    </row>
    <row r="38" spans="1:9" x14ac:dyDescent="0.25">
      <c r="A38" s="99"/>
      <c r="B38" s="99"/>
      <c r="C38" s="36">
        <v>6</v>
      </c>
      <c r="D38" s="98">
        <v>150</v>
      </c>
      <c r="E38" s="38" t="s">
        <v>2917</v>
      </c>
      <c r="F38" s="34">
        <f>IFERROR(_xlfn.XLOOKUP(E38,Index!$A:$A,Index!$B:$B),"")</f>
        <v>332.5</v>
      </c>
    </row>
    <row r="39" spans="1:9" x14ac:dyDescent="0.25">
      <c r="A39" s="99"/>
      <c r="B39" s="99"/>
      <c r="C39" s="36">
        <v>8</v>
      </c>
      <c r="D39" s="98">
        <v>200</v>
      </c>
      <c r="E39" s="38" t="s">
        <v>2921</v>
      </c>
      <c r="F39" s="34">
        <f>IFERROR(_xlfn.XLOOKUP(E39,Index!$A:$A,Index!$B:$B),"")</f>
        <v>498.5</v>
      </c>
    </row>
    <row r="40" spans="1:9" x14ac:dyDescent="0.25">
      <c r="A40" s="99"/>
      <c r="B40" s="99"/>
      <c r="C40" s="36">
        <v>10</v>
      </c>
      <c r="D40" s="98">
        <v>250</v>
      </c>
      <c r="E40" s="38" t="s">
        <v>2924</v>
      </c>
      <c r="F40" s="34">
        <f>IFERROR(_xlfn.XLOOKUP(E40,Index!$A:$A,Index!$B:$B),"")</f>
        <v>498.5</v>
      </c>
    </row>
    <row r="41" spans="1:9" x14ac:dyDescent="0.25">
      <c r="A41" s="99"/>
      <c r="B41" s="99"/>
      <c r="C41" s="36">
        <v>12</v>
      </c>
      <c r="D41" s="98">
        <v>300</v>
      </c>
      <c r="E41" s="38" t="s">
        <v>2928</v>
      </c>
      <c r="F41" s="34">
        <f>IFERROR(_xlfn.XLOOKUP(E41,Index!$A:$A,Index!$B:$B),"")</f>
        <v>914</v>
      </c>
    </row>
    <row r="42" spans="1:9" x14ac:dyDescent="0.25">
      <c r="A42" s="99"/>
      <c r="B42" s="99"/>
      <c r="C42" s="36">
        <v>14</v>
      </c>
      <c r="D42" s="98">
        <v>250</v>
      </c>
      <c r="E42" s="38" t="s">
        <v>2928</v>
      </c>
      <c r="F42" s="34">
        <f>IFERROR(_xlfn.XLOOKUP(E42,Index!$A:$A,Index!$B:$B),"")</f>
        <v>914</v>
      </c>
    </row>
    <row r="43" spans="1:9" ht="30" customHeight="1" x14ac:dyDescent="0.25">
      <c r="A43" s="121"/>
      <c r="B43" s="121"/>
      <c r="C43" s="36">
        <v>16</v>
      </c>
      <c r="D43" s="98">
        <v>300</v>
      </c>
      <c r="E43" s="228" t="s">
        <v>2932</v>
      </c>
      <c r="F43" s="34">
        <f>IFERROR(_xlfn.XLOOKUP(E43,Index!$A:$A,Index!$B:$B),"")</f>
        <v>914</v>
      </c>
    </row>
    <row r="44" spans="1:9" x14ac:dyDescent="0.25">
      <c r="A44" s="99"/>
      <c r="B44" s="146" t="s">
        <v>5574</v>
      </c>
      <c r="C44" s="64">
        <v>2</v>
      </c>
      <c r="D44" s="98">
        <v>50</v>
      </c>
      <c r="E44" s="38" t="s">
        <v>2891</v>
      </c>
      <c r="F44" s="34">
        <f>IFERROR(_xlfn.XLOOKUP(E44,Index!$A:$A,Index!$B:$B),"")</f>
        <v>83.25</v>
      </c>
    </row>
    <row r="45" spans="1:9" x14ac:dyDescent="0.25">
      <c r="A45" s="99"/>
      <c r="B45" s="144"/>
      <c r="C45" s="64" t="s">
        <v>231</v>
      </c>
      <c r="D45" s="98">
        <v>65</v>
      </c>
      <c r="E45" s="38" t="s">
        <v>2896</v>
      </c>
      <c r="F45" s="34">
        <f>IFERROR(_xlfn.XLOOKUP(E45,Index!$A:$A,Index!$B:$B),"")</f>
        <v>83.25</v>
      </c>
    </row>
    <row r="46" spans="1:9" x14ac:dyDescent="0.25">
      <c r="A46" s="99"/>
      <c r="B46" s="99"/>
      <c r="C46" s="36">
        <v>3</v>
      </c>
      <c r="D46" s="98">
        <v>80</v>
      </c>
      <c r="E46" s="38" t="s">
        <v>2902</v>
      </c>
      <c r="F46" s="34">
        <f>IFERROR(_xlfn.XLOOKUP(E46,Index!$A:$A,Index!$B:$B),"")</f>
        <v>83.25</v>
      </c>
      <c r="G46" s="111"/>
      <c r="H46" s="19"/>
      <c r="I46" s="19"/>
    </row>
    <row r="47" spans="1:9" x14ac:dyDescent="0.25">
      <c r="A47" s="99"/>
      <c r="B47" s="99"/>
      <c r="C47" s="36">
        <v>4</v>
      </c>
      <c r="D47" s="98">
        <v>100</v>
      </c>
      <c r="E47" s="38" t="s">
        <v>2906</v>
      </c>
      <c r="F47" s="34">
        <f>IFERROR(_xlfn.XLOOKUP(E47,Index!$A:$A,Index!$B:$B),"")</f>
        <v>83.25</v>
      </c>
      <c r="G47" s="4"/>
      <c r="H47" s="19"/>
      <c r="I47" s="19"/>
    </row>
    <row r="48" spans="1:9" x14ac:dyDescent="0.25">
      <c r="A48" s="99"/>
      <c r="B48" s="99"/>
      <c r="C48" s="36">
        <v>5</v>
      </c>
      <c r="D48" s="98">
        <v>125</v>
      </c>
      <c r="E48" s="38" t="s">
        <v>2910</v>
      </c>
      <c r="F48" s="34">
        <f>IFERROR(_xlfn.XLOOKUP(E48,Index!$A:$A,Index!$B:$B),"")</f>
        <v>83.25</v>
      </c>
    </row>
    <row r="49" spans="1:9" x14ac:dyDescent="0.25">
      <c r="A49" s="99"/>
      <c r="B49" s="99"/>
      <c r="C49" s="36">
        <v>6</v>
      </c>
      <c r="D49" s="98">
        <v>150</v>
      </c>
      <c r="E49" s="38" t="s">
        <v>2916</v>
      </c>
      <c r="F49" s="34">
        <f>IFERROR(_xlfn.XLOOKUP(E49,Index!$A:$A,Index!$B:$B),"")</f>
        <v>125</v>
      </c>
    </row>
    <row r="50" spans="1:9" x14ac:dyDescent="0.25">
      <c r="A50" s="99"/>
      <c r="B50" s="99"/>
      <c r="C50" s="36">
        <v>8</v>
      </c>
      <c r="D50" s="98">
        <v>200</v>
      </c>
      <c r="E50" s="38" t="s">
        <v>2919</v>
      </c>
      <c r="F50" s="34">
        <f>IFERROR(_xlfn.XLOOKUP(E50,Index!$A:$A,Index!$B:$B),"")</f>
        <v>125</v>
      </c>
    </row>
    <row r="51" spans="1:9" x14ac:dyDescent="0.25">
      <c r="A51" s="99"/>
      <c r="B51" s="99"/>
      <c r="C51" s="36">
        <v>10</v>
      </c>
      <c r="D51" s="98">
        <v>250</v>
      </c>
      <c r="E51" s="38" t="s">
        <v>2925</v>
      </c>
      <c r="F51" s="34">
        <f>IFERROR(_xlfn.XLOOKUP(E51,Index!$A:$A,Index!$B:$B),"")</f>
        <v>125</v>
      </c>
    </row>
    <row r="52" spans="1:9" x14ac:dyDescent="0.25">
      <c r="A52" s="99"/>
      <c r="B52" s="99"/>
      <c r="C52" s="36">
        <v>12</v>
      </c>
      <c r="D52" s="98">
        <v>300</v>
      </c>
      <c r="E52" s="38" t="s">
        <v>2929</v>
      </c>
      <c r="F52" s="34">
        <f>IFERROR(_xlfn.XLOOKUP(E52,Index!$A:$A,Index!$B:$B),"")</f>
        <v>291.5</v>
      </c>
    </row>
    <row r="53" spans="1:9" x14ac:dyDescent="0.25">
      <c r="A53" s="99"/>
      <c r="B53" s="99"/>
      <c r="C53" s="36">
        <v>14</v>
      </c>
      <c r="D53" s="98">
        <v>250</v>
      </c>
      <c r="E53" s="38" t="s">
        <v>2929</v>
      </c>
      <c r="F53" s="34">
        <f>IFERROR(_xlfn.XLOOKUP(E53,Index!$A:$A,Index!$B:$B),"")</f>
        <v>291.5</v>
      </c>
    </row>
    <row r="54" spans="1:9" x14ac:dyDescent="0.25">
      <c r="A54" s="121"/>
      <c r="B54" s="121"/>
      <c r="C54" s="36">
        <v>16</v>
      </c>
      <c r="D54" s="98">
        <v>300</v>
      </c>
      <c r="E54" s="38" t="s">
        <v>2934</v>
      </c>
      <c r="F54" s="34">
        <f>IFERROR(_xlfn.XLOOKUP(E54,Index!$A:$A,Index!$B:$B),"")</f>
        <v>291.5</v>
      </c>
    </row>
    <row r="55" spans="1:9" x14ac:dyDescent="0.25">
      <c r="A55" s="99"/>
      <c r="B55" s="146" t="s">
        <v>5575</v>
      </c>
      <c r="C55" s="64">
        <v>2</v>
      </c>
      <c r="D55" s="98">
        <v>50</v>
      </c>
      <c r="E55" s="38" t="s">
        <v>2893</v>
      </c>
      <c r="F55" s="34">
        <f>IFERROR(_xlfn.XLOOKUP(E55,Index!$A:$A,Index!$B:$B),"")</f>
        <v>209</v>
      </c>
    </row>
    <row r="56" spans="1:9" x14ac:dyDescent="0.25">
      <c r="A56" s="99"/>
      <c r="B56" s="144"/>
      <c r="C56" s="64" t="s">
        <v>231</v>
      </c>
      <c r="D56" s="98">
        <v>65</v>
      </c>
      <c r="E56" s="38" t="s">
        <v>2898</v>
      </c>
      <c r="F56" s="34">
        <f>IFERROR(_xlfn.XLOOKUP(E56,Index!$A:$A,Index!$B:$B),"")</f>
        <v>209</v>
      </c>
    </row>
    <row r="57" spans="1:9" x14ac:dyDescent="0.25">
      <c r="A57" s="99"/>
      <c r="B57" s="99"/>
      <c r="C57" s="36">
        <v>3</v>
      </c>
      <c r="D57" s="98">
        <v>80</v>
      </c>
      <c r="E57" s="38" t="s">
        <v>2903</v>
      </c>
      <c r="F57" s="34">
        <f>IFERROR(_xlfn.XLOOKUP(E57,Index!$A:$A,Index!$B:$B),"")</f>
        <v>209</v>
      </c>
    </row>
    <row r="58" spans="1:9" x14ac:dyDescent="0.25">
      <c r="A58" s="99"/>
      <c r="B58" s="99"/>
      <c r="C58" s="36">
        <v>4</v>
      </c>
      <c r="D58" s="98">
        <v>100</v>
      </c>
      <c r="E58" s="38" t="s">
        <v>2905</v>
      </c>
      <c r="F58" s="34">
        <f>IFERROR(_xlfn.XLOOKUP(E58,Index!$A:$A,Index!$B:$B),"")</f>
        <v>209</v>
      </c>
    </row>
    <row r="59" spans="1:9" x14ac:dyDescent="0.25">
      <c r="A59" s="99"/>
      <c r="B59" s="99"/>
      <c r="C59" s="36">
        <v>5</v>
      </c>
      <c r="D59" s="98">
        <v>125</v>
      </c>
      <c r="E59" s="38" t="s">
        <v>2911</v>
      </c>
      <c r="F59" s="34">
        <f>IFERROR(_xlfn.XLOOKUP(E59,Index!$A:$A,Index!$B:$B),"")</f>
        <v>250</v>
      </c>
    </row>
    <row r="60" spans="1:9" x14ac:dyDescent="0.25">
      <c r="A60" s="99"/>
      <c r="B60" s="99"/>
      <c r="C60" s="36">
        <v>6</v>
      </c>
      <c r="D60" s="98">
        <v>150</v>
      </c>
      <c r="E60" s="38" t="s">
        <v>2915</v>
      </c>
      <c r="F60" s="34">
        <f>IFERROR(_xlfn.XLOOKUP(E60,Index!$A:$A,Index!$B:$B),"")</f>
        <v>250</v>
      </c>
      <c r="G60" s="111"/>
      <c r="H60" s="19"/>
      <c r="I60" s="19"/>
    </row>
    <row r="61" spans="1:9" x14ac:dyDescent="0.25">
      <c r="A61" s="99"/>
      <c r="B61" s="99"/>
      <c r="C61" s="36">
        <v>8</v>
      </c>
      <c r="D61" s="98">
        <v>200</v>
      </c>
      <c r="E61" s="38" t="s">
        <v>2920</v>
      </c>
      <c r="F61" s="34">
        <f>IFERROR(_xlfn.XLOOKUP(E61,Index!$A:$A,Index!$B:$B),"")</f>
        <v>250</v>
      </c>
      <c r="G61" s="4"/>
      <c r="H61" s="19"/>
      <c r="I61" s="19"/>
    </row>
    <row r="62" spans="1:9" x14ac:dyDescent="0.25">
      <c r="A62" s="99"/>
      <c r="B62" s="99"/>
      <c r="C62" s="36">
        <v>10</v>
      </c>
      <c r="D62" s="98">
        <v>250</v>
      </c>
      <c r="E62" s="38" t="s">
        <v>2926</v>
      </c>
      <c r="F62" s="34">
        <f>IFERROR(_xlfn.XLOOKUP(E62,Index!$A:$A,Index!$B:$B),"")</f>
        <v>541</v>
      </c>
    </row>
    <row r="63" spans="1:9" x14ac:dyDescent="0.25">
      <c r="A63" s="99"/>
      <c r="B63" s="99"/>
      <c r="C63" s="36">
        <v>12</v>
      </c>
      <c r="D63" s="98">
        <v>300</v>
      </c>
      <c r="E63" s="38" t="s">
        <v>2930</v>
      </c>
      <c r="F63" s="34">
        <f>IFERROR(_xlfn.XLOOKUP(E63,Index!$A:$A,Index!$B:$B),"")</f>
        <v>541</v>
      </c>
    </row>
    <row r="64" spans="1:9" x14ac:dyDescent="0.25">
      <c r="A64" s="99"/>
      <c r="B64" s="99"/>
      <c r="C64" s="36">
        <v>14</v>
      </c>
      <c r="D64" s="98">
        <v>250</v>
      </c>
      <c r="E64" s="38" t="s">
        <v>2930</v>
      </c>
      <c r="F64" s="34">
        <f>IFERROR(_xlfn.XLOOKUP(E64,Index!$A:$A,Index!$B:$B),"")</f>
        <v>541</v>
      </c>
    </row>
    <row r="65" spans="1:9" x14ac:dyDescent="0.25">
      <c r="A65" s="121"/>
      <c r="B65" s="121"/>
      <c r="C65" s="36">
        <v>16</v>
      </c>
      <c r="D65" s="98">
        <v>300</v>
      </c>
      <c r="E65" s="38" t="s">
        <v>2933</v>
      </c>
      <c r="F65" s="34">
        <f>IFERROR(_xlfn.XLOOKUP(E65,Index!$A:$A,Index!$B:$B),"")</f>
        <v>1246</v>
      </c>
    </row>
    <row r="66" spans="1:9" x14ac:dyDescent="0.25">
      <c r="A66" s="99"/>
      <c r="B66" s="146" t="s">
        <v>5576</v>
      </c>
      <c r="C66" s="64">
        <v>2</v>
      </c>
      <c r="D66" s="98">
        <v>50</v>
      </c>
      <c r="E66" s="38" t="s">
        <v>2894</v>
      </c>
      <c r="F66" s="34">
        <f>IFERROR(_xlfn.XLOOKUP(E66,Index!$A:$A,Index!$B:$B),"")</f>
        <v>25.5</v>
      </c>
    </row>
    <row r="67" spans="1:9" x14ac:dyDescent="0.25">
      <c r="A67" s="99"/>
      <c r="B67" s="144"/>
      <c r="C67" s="64" t="s">
        <v>231</v>
      </c>
      <c r="D67" s="98">
        <v>65</v>
      </c>
      <c r="E67" s="38" t="s">
        <v>2894</v>
      </c>
      <c r="F67" s="34">
        <f>IFERROR(_xlfn.XLOOKUP(E67,Index!$A:$A,Index!$B:$B),"")</f>
        <v>25.5</v>
      </c>
    </row>
    <row r="68" spans="1:9" x14ac:dyDescent="0.25">
      <c r="A68" s="99"/>
      <c r="B68" s="99"/>
      <c r="C68" s="36">
        <v>3</v>
      </c>
      <c r="D68" s="98">
        <v>80</v>
      </c>
      <c r="E68" s="38" t="s">
        <v>2900</v>
      </c>
      <c r="F68" s="34">
        <f>IFERROR(_xlfn.XLOOKUP(E68,Index!$A:$A,Index!$B:$B),"")</f>
        <v>20</v>
      </c>
    </row>
    <row r="69" spans="1:9" x14ac:dyDescent="0.25">
      <c r="A69" s="99"/>
      <c r="B69" s="99"/>
      <c r="C69" s="36">
        <v>4</v>
      </c>
      <c r="D69" s="98">
        <v>100</v>
      </c>
      <c r="E69" s="38" t="s">
        <v>2907</v>
      </c>
      <c r="F69" s="34">
        <f>IFERROR(_xlfn.XLOOKUP(E69,Index!$A:$A,Index!$B:$B),"")</f>
        <v>20</v>
      </c>
    </row>
    <row r="70" spans="1:9" x14ac:dyDescent="0.25">
      <c r="A70" s="99"/>
      <c r="B70" s="99"/>
      <c r="C70" s="36">
        <v>5</v>
      </c>
      <c r="D70" s="98">
        <v>125</v>
      </c>
      <c r="E70" s="38" t="s">
        <v>2913</v>
      </c>
      <c r="F70" s="34">
        <f>IFERROR(_xlfn.XLOOKUP(E70,Index!$A:$A,Index!$B:$B),"")</f>
        <v>20</v>
      </c>
    </row>
    <row r="71" spans="1:9" x14ac:dyDescent="0.25">
      <c r="A71" s="99"/>
      <c r="B71" s="99"/>
      <c r="C71" s="36">
        <v>6</v>
      </c>
      <c r="D71" s="98">
        <v>150</v>
      </c>
      <c r="E71" s="38" t="s">
        <v>2913</v>
      </c>
      <c r="F71" s="34">
        <f>IFERROR(_xlfn.XLOOKUP(E71,Index!$A:$A,Index!$B:$B),"")</f>
        <v>20</v>
      </c>
    </row>
    <row r="72" spans="1:9" x14ac:dyDescent="0.25">
      <c r="A72" s="99"/>
      <c r="B72" s="99"/>
      <c r="C72" s="36">
        <v>8</v>
      </c>
      <c r="D72" s="98">
        <v>200</v>
      </c>
      <c r="E72" s="38" t="s">
        <v>2922</v>
      </c>
      <c r="F72" s="34">
        <f>IFERROR(_xlfn.XLOOKUP(E72,Index!$A:$A,Index!$B:$B),"")</f>
        <v>20</v>
      </c>
    </row>
    <row r="73" spans="1:9" x14ac:dyDescent="0.25">
      <c r="A73" s="99"/>
      <c r="B73" s="99"/>
      <c r="C73" s="36">
        <v>10</v>
      </c>
      <c r="D73" s="98">
        <v>250</v>
      </c>
      <c r="E73" s="38" t="s">
        <v>2922</v>
      </c>
      <c r="F73" s="34">
        <f>IFERROR(_xlfn.XLOOKUP(E73,Index!$A:$A,Index!$B:$B),"")</f>
        <v>20</v>
      </c>
    </row>
    <row r="74" spans="1:9" x14ac:dyDescent="0.25">
      <c r="A74" s="99"/>
      <c r="B74" s="99"/>
      <c r="C74" s="36">
        <v>12</v>
      </c>
      <c r="D74" s="98">
        <v>300</v>
      </c>
      <c r="E74" s="38" t="s">
        <v>2922</v>
      </c>
      <c r="F74" s="34">
        <f>IFERROR(_xlfn.XLOOKUP(E74,Index!$A:$A,Index!$B:$B),"")</f>
        <v>20</v>
      </c>
      <c r="G74" s="111"/>
      <c r="H74" s="19"/>
      <c r="I74" s="19"/>
    </row>
    <row r="75" spans="1:9" x14ac:dyDescent="0.25">
      <c r="A75" s="99"/>
      <c r="B75" s="99"/>
      <c r="C75" s="36">
        <v>14</v>
      </c>
      <c r="D75" s="98">
        <v>250</v>
      </c>
      <c r="E75" s="38" t="s">
        <v>2922</v>
      </c>
      <c r="F75" s="34">
        <f>IFERROR(_xlfn.XLOOKUP(E75,Index!$A:$A,Index!$B:$B),"")</f>
        <v>20</v>
      </c>
      <c r="G75" s="4"/>
      <c r="H75" s="19"/>
      <c r="I75" s="19"/>
    </row>
    <row r="76" spans="1:9" x14ac:dyDescent="0.25">
      <c r="A76" s="121"/>
      <c r="B76" s="121"/>
      <c r="C76" s="36">
        <v>16</v>
      </c>
      <c r="D76" s="98">
        <v>300</v>
      </c>
      <c r="E76" s="38" t="s">
        <v>2935</v>
      </c>
      <c r="F76" s="34">
        <f>IFERROR(_xlfn.XLOOKUP(E76,Index!$A:$A,Index!$B:$B),"")</f>
        <v>25.5</v>
      </c>
    </row>
    <row r="78" spans="1:9" ht="15.75" x14ac:dyDescent="0.25">
      <c r="A78" s="62" t="s">
        <v>2500</v>
      </c>
      <c r="B78" s="62" t="s">
        <v>33</v>
      </c>
      <c r="C78" s="14"/>
      <c r="D78" s="14"/>
      <c r="E78" s="14"/>
      <c r="F78" s="3"/>
      <c r="G78" s="8"/>
      <c r="H78" s="110"/>
    </row>
    <row r="79" spans="1:9" ht="15.75" x14ac:dyDescent="0.25">
      <c r="A79" s="48" t="s">
        <v>2486</v>
      </c>
      <c r="B79" s="62"/>
      <c r="C79" s="4"/>
      <c r="D79" s="4"/>
      <c r="E79" s="4"/>
      <c r="F79" s="4"/>
      <c r="G79" s="5"/>
      <c r="H79" s="110"/>
    </row>
    <row r="80" spans="1:9" ht="24" x14ac:dyDescent="0.25">
      <c r="A80" s="102" t="s">
        <v>35</v>
      </c>
      <c r="B80" s="140" t="s">
        <v>2487</v>
      </c>
      <c r="C80" s="143" t="s">
        <v>38</v>
      </c>
      <c r="D80" s="143"/>
      <c r="E80" s="23" t="s">
        <v>39</v>
      </c>
      <c r="F80" s="23"/>
      <c r="G80" s="42" t="s">
        <v>40</v>
      </c>
      <c r="H80" s="24" t="s">
        <v>41</v>
      </c>
    </row>
    <row r="81" spans="1:8" x14ac:dyDescent="0.25">
      <c r="A81" s="96"/>
      <c r="B81" s="96"/>
      <c r="C81" s="33" t="s">
        <v>44</v>
      </c>
      <c r="D81" s="33" t="s">
        <v>45</v>
      </c>
      <c r="E81" s="33" t="s">
        <v>46</v>
      </c>
      <c r="F81" s="39" t="s">
        <v>47</v>
      </c>
      <c r="G81" s="33"/>
      <c r="H81" s="41"/>
    </row>
    <row r="82" spans="1:8" x14ac:dyDescent="0.25">
      <c r="A82" s="60" t="s">
        <v>2501</v>
      </c>
      <c r="B82" s="60" t="s">
        <v>2297</v>
      </c>
      <c r="C82" s="125">
        <v>3</v>
      </c>
      <c r="D82" s="98">
        <v>80</v>
      </c>
      <c r="E82" s="35">
        <v>12</v>
      </c>
      <c r="F82" s="40">
        <v>5.4</v>
      </c>
      <c r="G82" s="38" t="s">
        <v>2502</v>
      </c>
      <c r="H82" s="34">
        <f>IFERROR(_xlfn.XLOOKUP(G82,Index!$A:$A,Index!$B:$B),"")</f>
        <v>2932</v>
      </c>
    </row>
    <row r="83" spans="1:8" x14ac:dyDescent="0.25">
      <c r="A83" s="99"/>
      <c r="B83" s="99"/>
      <c r="C83" s="125">
        <v>4</v>
      </c>
      <c r="D83" s="98">
        <v>100</v>
      </c>
      <c r="E83" s="35">
        <v>17</v>
      </c>
      <c r="F83" s="40">
        <v>7.7</v>
      </c>
      <c r="G83" s="38" t="s">
        <v>2503</v>
      </c>
      <c r="H83" s="34">
        <f>IFERROR(_xlfn.XLOOKUP(G83,Index!$A:$A,Index!$B:$B),"")</f>
        <v>3910</v>
      </c>
    </row>
    <row r="84" spans="1:8" x14ac:dyDescent="0.25">
      <c r="A84" s="99"/>
      <c r="B84" s="99"/>
      <c r="C84" s="125">
        <v>5</v>
      </c>
      <c r="D84" s="98">
        <v>125</v>
      </c>
      <c r="E84" s="35">
        <v>30</v>
      </c>
      <c r="F84" s="40">
        <v>13.6</v>
      </c>
      <c r="G84" s="38" t="s">
        <v>2504</v>
      </c>
      <c r="H84" s="34">
        <f>IFERROR(_xlfn.XLOOKUP(G84,Index!$A:$A,Index!$B:$B),"")</f>
        <v>5051</v>
      </c>
    </row>
    <row r="85" spans="1:8" x14ac:dyDescent="0.25">
      <c r="A85" s="99"/>
      <c r="B85" s="99"/>
      <c r="C85" s="125">
        <v>6</v>
      </c>
      <c r="D85" s="98">
        <v>150</v>
      </c>
      <c r="E85" s="35">
        <v>40</v>
      </c>
      <c r="F85" s="40">
        <v>18.100000000000001</v>
      </c>
      <c r="G85" s="38" t="s">
        <v>2505</v>
      </c>
      <c r="H85" s="34">
        <f>IFERROR(_xlfn.XLOOKUP(G85,Index!$A:$A,Index!$B:$B),"")</f>
        <v>5212</v>
      </c>
    </row>
    <row r="86" spans="1:8" x14ac:dyDescent="0.25">
      <c r="A86" s="121"/>
      <c r="B86" s="121"/>
      <c r="C86" s="125">
        <v>8</v>
      </c>
      <c r="D86" s="98">
        <v>200</v>
      </c>
      <c r="E86" s="35">
        <v>75</v>
      </c>
      <c r="F86" s="40">
        <v>34</v>
      </c>
      <c r="G86" s="38" t="s">
        <v>2506</v>
      </c>
      <c r="H86" s="34">
        <f>IFERROR(_xlfn.XLOOKUP(G86,Index!$A:$A,Index!$B:$B),"")</f>
        <v>8599</v>
      </c>
    </row>
    <row r="88" spans="1:8" ht="15.75" x14ac:dyDescent="0.25">
      <c r="A88" s="62" t="s">
        <v>2500</v>
      </c>
      <c r="B88" s="62"/>
      <c r="C88" s="14"/>
      <c r="D88" s="14"/>
      <c r="E88" s="14"/>
      <c r="F88" s="3"/>
      <c r="G88" s="8"/>
      <c r="H88" s="110"/>
    </row>
    <row r="89" spans="1:8" ht="15.75" x14ac:dyDescent="0.25">
      <c r="A89" s="48" t="s">
        <v>102</v>
      </c>
      <c r="B89" s="11"/>
      <c r="C89" s="4"/>
      <c r="D89" s="4"/>
      <c r="E89" s="4"/>
      <c r="F89" s="4"/>
      <c r="G89" s="5"/>
      <c r="H89" s="110"/>
    </row>
    <row r="90" spans="1:8" ht="24" x14ac:dyDescent="0.25">
      <c r="A90" s="102" t="s">
        <v>35</v>
      </c>
      <c r="B90" s="140" t="s">
        <v>103</v>
      </c>
      <c r="C90" s="337" t="s">
        <v>38</v>
      </c>
      <c r="D90" s="337"/>
      <c r="E90" s="42" t="s">
        <v>40</v>
      </c>
      <c r="F90" s="24" t="s">
        <v>41</v>
      </c>
    </row>
    <row r="91" spans="1:8" x14ac:dyDescent="0.25">
      <c r="A91" s="96"/>
      <c r="B91" s="96"/>
      <c r="C91" s="33" t="s">
        <v>44</v>
      </c>
      <c r="D91" s="33" t="s">
        <v>45</v>
      </c>
      <c r="E91" s="104"/>
      <c r="F91" s="138"/>
    </row>
    <row r="92" spans="1:8" x14ac:dyDescent="0.25">
      <c r="A92" s="237" t="s">
        <v>2501</v>
      </c>
      <c r="B92" s="236" t="s">
        <v>2292</v>
      </c>
      <c r="C92" s="36">
        <v>3</v>
      </c>
      <c r="D92" s="137">
        <v>80</v>
      </c>
      <c r="E92" s="38" t="s">
        <v>2899</v>
      </c>
      <c r="F92" s="34">
        <f>IFERROR(_xlfn.XLOOKUP(E92,Index!$A:$A,Index!$B:$B),"")</f>
        <v>664.5</v>
      </c>
    </row>
    <row r="93" spans="1:8" x14ac:dyDescent="0.25">
      <c r="A93" s="99"/>
      <c r="B93" s="144"/>
      <c r="C93" s="36">
        <v>4</v>
      </c>
      <c r="D93" s="137">
        <v>100</v>
      </c>
      <c r="E93" s="38" t="s">
        <v>2904</v>
      </c>
      <c r="F93" s="34">
        <f>IFERROR(_xlfn.XLOOKUP(E93,Index!$A:$A,Index!$B:$B),"")</f>
        <v>747.5</v>
      </c>
    </row>
    <row r="94" spans="1:8" x14ac:dyDescent="0.25">
      <c r="A94" s="99"/>
      <c r="B94" s="99"/>
      <c r="C94" s="36">
        <v>5</v>
      </c>
      <c r="D94" s="137">
        <v>125</v>
      </c>
      <c r="E94" s="38" t="s">
        <v>2909</v>
      </c>
      <c r="F94" s="34">
        <f>IFERROR(_xlfn.XLOOKUP(E94,Index!$A:$A,Index!$B:$B),"")</f>
        <v>914</v>
      </c>
    </row>
    <row r="95" spans="1:8" x14ac:dyDescent="0.25">
      <c r="A95" s="99"/>
      <c r="B95" s="99"/>
      <c r="C95" s="36">
        <v>6</v>
      </c>
      <c r="D95" s="137">
        <v>150</v>
      </c>
      <c r="E95" s="38" t="s">
        <v>2914</v>
      </c>
      <c r="F95" s="34">
        <f>IFERROR(_xlfn.XLOOKUP(E95,Index!$A:$A,Index!$B:$B),"")</f>
        <v>914</v>
      </c>
    </row>
    <row r="96" spans="1:8" x14ac:dyDescent="0.25">
      <c r="A96" s="99"/>
      <c r="B96" s="99"/>
      <c r="C96" s="36">
        <v>8</v>
      </c>
      <c r="D96" s="137">
        <v>200</v>
      </c>
      <c r="E96" s="38" t="s">
        <v>2918</v>
      </c>
      <c r="F96" s="34">
        <f>IFERROR(_xlfn.XLOOKUP(E96,Index!$A:$A,Index!$B:$B),"")</f>
        <v>1329</v>
      </c>
    </row>
    <row r="97" spans="1:9" x14ac:dyDescent="0.25">
      <c r="A97" s="99"/>
      <c r="B97" s="236" t="s">
        <v>2294</v>
      </c>
      <c r="C97" s="36">
        <v>3</v>
      </c>
      <c r="D97" s="137">
        <v>80</v>
      </c>
      <c r="E97" s="38" t="s">
        <v>2901</v>
      </c>
      <c r="F97" s="34">
        <f>IFERROR(_xlfn.XLOOKUP(E97,Index!$A:$A,Index!$B:$B),"")</f>
        <v>250</v>
      </c>
    </row>
    <row r="98" spans="1:9" x14ac:dyDescent="0.25">
      <c r="A98" s="99"/>
      <c r="B98" s="144"/>
      <c r="C98" s="36">
        <v>4</v>
      </c>
      <c r="D98" s="137">
        <v>100</v>
      </c>
      <c r="E98" s="38" t="s">
        <v>2908</v>
      </c>
      <c r="F98" s="34">
        <f>IFERROR(_xlfn.XLOOKUP(E98,Index!$A:$A,Index!$B:$B),"")</f>
        <v>332.5</v>
      </c>
    </row>
    <row r="99" spans="1:9" x14ac:dyDescent="0.25">
      <c r="A99" s="99"/>
      <c r="B99" s="99"/>
      <c r="C99" s="36">
        <v>5</v>
      </c>
      <c r="D99" s="137">
        <v>125</v>
      </c>
      <c r="E99" s="38" t="s">
        <v>2912</v>
      </c>
      <c r="F99" s="34">
        <f>IFERROR(_xlfn.XLOOKUP(E99,Index!$A:$A,Index!$B:$B),"")</f>
        <v>332.5</v>
      </c>
    </row>
    <row r="100" spans="1:9" x14ac:dyDescent="0.25">
      <c r="A100" s="99"/>
      <c r="B100" s="99"/>
      <c r="C100" s="36">
        <v>6</v>
      </c>
      <c r="D100" s="137">
        <v>150</v>
      </c>
      <c r="E100" s="38" t="s">
        <v>2917</v>
      </c>
      <c r="F100" s="34">
        <f>IFERROR(_xlfn.XLOOKUP(E100,Index!$A:$A,Index!$B:$B),"")</f>
        <v>332.5</v>
      </c>
    </row>
    <row r="101" spans="1:9" x14ac:dyDescent="0.25">
      <c r="A101" s="99"/>
      <c r="B101" s="99"/>
      <c r="C101" s="36">
        <v>8</v>
      </c>
      <c r="D101" s="137">
        <v>200</v>
      </c>
      <c r="E101" s="38" t="s">
        <v>2921</v>
      </c>
      <c r="F101" s="34">
        <f>IFERROR(_xlfn.XLOOKUP(E101,Index!$A:$A,Index!$B:$B),"")</f>
        <v>498.5</v>
      </c>
    </row>
    <row r="102" spans="1:9" x14ac:dyDescent="0.25">
      <c r="A102" s="99"/>
      <c r="B102" s="236" t="s">
        <v>5574</v>
      </c>
      <c r="C102" s="36">
        <v>3</v>
      </c>
      <c r="D102" s="137">
        <v>80</v>
      </c>
      <c r="E102" s="38" t="s">
        <v>2902</v>
      </c>
      <c r="F102" s="34">
        <f>IFERROR(_xlfn.XLOOKUP(E102,Index!$A:$A,Index!$B:$B),"")</f>
        <v>83.25</v>
      </c>
    </row>
    <row r="103" spans="1:9" x14ac:dyDescent="0.25">
      <c r="A103" s="99"/>
      <c r="B103" s="144"/>
      <c r="C103" s="36">
        <v>4</v>
      </c>
      <c r="D103" s="137">
        <v>100</v>
      </c>
      <c r="E103" s="228" t="s">
        <v>2906</v>
      </c>
      <c r="F103" s="34">
        <f>IFERROR(_xlfn.XLOOKUP(E103,Index!$A:$A,Index!$B:$B),"")</f>
        <v>83.25</v>
      </c>
    </row>
    <row r="104" spans="1:9" x14ac:dyDescent="0.25">
      <c r="A104" s="99"/>
      <c r="B104" s="99"/>
      <c r="C104" s="36">
        <v>5</v>
      </c>
      <c r="D104" s="137">
        <v>125</v>
      </c>
      <c r="E104" s="38" t="s">
        <v>2910</v>
      </c>
      <c r="F104" s="34">
        <f>IFERROR(_xlfn.XLOOKUP(E104,Index!$A:$A,Index!$B:$B),"")</f>
        <v>83.25</v>
      </c>
      <c r="G104" s="111"/>
      <c r="H104" s="19"/>
      <c r="I104" s="19"/>
    </row>
    <row r="105" spans="1:9" x14ac:dyDescent="0.25">
      <c r="A105" s="99"/>
      <c r="B105" s="99"/>
      <c r="C105" s="36">
        <v>6</v>
      </c>
      <c r="D105" s="137">
        <v>150</v>
      </c>
      <c r="E105" s="38" t="s">
        <v>2916</v>
      </c>
      <c r="F105" s="34">
        <f>IFERROR(_xlfn.XLOOKUP(E105,Index!$A:$A,Index!$B:$B),"")</f>
        <v>125</v>
      </c>
      <c r="G105" s="4"/>
      <c r="H105" s="19"/>
      <c r="I105" s="19"/>
    </row>
    <row r="106" spans="1:9" x14ac:dyDescent="0.25">
      <c r="A106" s="99"/>
      <c r="B106" s="99"/>
      <c r="C106" s="36">
        <v>8</v>
      </c>
      <c r="D106" s="137">
        <v>200</v>
      </c>
      <c r="E106" s="38" t="s">
        <v>2919</v>
      </c>
      <c r="F106" s="34">
        <f>IFERROR(_xlfn.XLOOKUP(E106,Index!$A:$A,Index!$B:$B),"")</f>
        <v>125</v>
      </c>
    </row>
    <row r="107" spans="1:9" x14ac:dyDescent="0.25">
      <c r="A107" s="99"/>
      <c r="B107" s="236" t="s">
        <v>5575</v>
      </c>
      <c r="C107" s="36">
        <v>3</v>
      </c>
      <c r="D107" s="137">
        <v>80</v>
      </c>
      <c r="E107" s="38" t="s">
        <v>2903</v>
      </c>
      <c r="F107" s="34">
        <f>IFERROR(_xlfn.XLOOKUP(E107,Index!$A:$A,Index!$B:$B),"")</f>
        <v>209</v>
      </c>
    </row>
    <row r="108" spans="1:9" x14ac:dyDescent="0.25">
      <c r="A108" s="99"/>
      <c r="B108" s="144"/>
      <c r="C108" s="36">
        <v>4</v>
      </c>
      <c r="D108" s="137">
        <v>100</v>
      </c>
      <c r="E108" s="38" t="s">
        <v>2905</v>
      </c>
      <c r="F108" s="34">
        <f>IFERROR(_xlfn.XLOOKUP(E108,Index!$A:$A,Index!$B:$B),"")</f>
        <v>209</v>
      </c>
    </row>
    <row r="109" spans="1:9" x14ac:dyDescent="0.25">
      <c r="A109" s="99"/>
      <c r="B109" s="99"/>
      <c r="C109" s="36">
        <v>5</v>
      </c>
      <c r="D109" s="137">
        <v>125</v>
      </c>
      <c r="E109" s="38" t="s">
        <v>2911</v>
      </c>
      <c r="F109" s="34">
        <f>IFERROR(_xlfn.XLOOKUP(E109,Index!$A:$A,Index!$B:$B),"")</f>
        <v>250</v>
      </c>
    </row>
    <row r="110" spans="1:9" x14ac:dyDescent="0.25">
      <c r="A110" s="99"/>
      <c r="B110" s="99"/>
      <c r="C110" s="36">
        <v>6</v>
      </c>
      <c r="D110" s="137">
        <v>150</v>
      </c>
      <c r="E110" s="38" t="s">
        <v>2915</v>
      </c>
      <c r="F110" s="34">
        <f>IFERROR(_xlfn.XLOOKUP(E110,Index!$A:$A,Index!$B:$B),"")</f>
        <v>250</v>
      </c>
    </row>
    <row r="111" spans="1:9" x14ac:dyDescent="0.25">
      <c r="A111" s="99"/>
      <c r="B111" s="99"/>
      <c r="C111" s="36">
        <v>8</v>
      </c>
      <c r="D111" s="137">
        <v>200</v>
      </c>
      <c r="E111" s="38" t="s">
        <v>2920</v>
      </c>
      <c r="F111" s="34">
        <f>IFERROR(_xlfn.XLOOKUP(E111,Index!$A:$A,Index!$B:$B),"")</f>
        <v>250</v>
      </c>
    </row>
    <row r="112" spans="1:9" x14ac:dyDescent="0.25">
      <c r="A112" s="99"/>
      <c r="B112" s="236" t="s">
        <v>5576</v>
      </c>
      <c r="C112" s="36">
        <v>3</v>
      </c>
      <c r="D112" s="137">
        <v>80</v>
      </c>
      <c r="E112" s="38" t="s">
        <v>2900</v>
      </c>
      <c r="F112" s="34">
        <f>IFERROR(_xlfn.XLOOKUP(E112,Index!$A:$A,Index!$B:$B),"")</f>
        <v>20</v>
      </c>
    </row>
    <row r="113" spans="1:8" x14ac:dyDescent="0.25">
      <c r="A113" s="99"/>
      <c r="B113" s="144"/>
      <c r="C113" s="36">
        <v>4</v>
      </c>
      <c r="D113" s="137">
        <v>100</v>
      </c>
      <c r="E113" s="38" t="s">
        <v>2907</v>
      </c>
      <c r="F113" s="34">
        <f>IFERROR(_xlfn.XLOOKUP(E113,Index!$A:$A,Index!$B:$B),"")</f>
        <v>20</v>
      </c>
    </row>
    <row r="114" spans="1:8" x14ac:dyDescent="0.25">
      <c r="A114" s="99"/>
      <c r="B114" s="99"/>
      <c r="C114" s="36">
        <v>5</v>
      </c>
      <c r="D114" s="137">
        <v>125</v>
      </c>
      <c r="E114" s="38" t="s">
        <v>2913</v>
      </c>
      <c r="F114" s="34">
        <f>IFERROR(_xlfn.XLOOKUP(E114,Index!$A:$A,Index!$B:$B),"")</f>
        <v>20</v>
      </c>
    </row>
    <row r="115" spans="1:8" x14ac:dyDescent="0.25">
      <c r="A115" s="99"/>
      <c r="B115" s="99"/>
      <c r="C115" s="36">
        <v>6</v>
      </c>
      <c r="D115" s="137">
        <v>150</v>
      </c>
      <c r="E115" s="38" t="s">
        <v>2913</v>
      </c>
      <c r="F115" s="34">
        <f>IFERROR(_xlfn.XLOOKUP(E115,Index!$A:$A,Index!$B:$B),"")</f>
        <v>20</v>
      </c>
    </row>
    <row r="116" spans="1:8" x14ac:dyDescent="0.25">
      <c r="A116" s="121"/>
      <c r="B116" s="121"/>
      <c r="C116" s="36">
        <v>8</v>
      </c>
      <c r="D116" s="137">
        <v>200</v>
      </c>
      <c r="E116" s="38" t="s">
        <v>2922</v>
      </c>
      <c r="F116" s="34">
        <f>IFERROR(_xlfn.XLOOKUP(E116,Index!$A:$A,Index!$B:$B),"")</f>
        <v>20</v>
      </c>
    </row>
    <row r="118" spans="1:8" ht="15.75" x14ac:dyDescent="0.25">
      <c r="A118" s="62" t="s">
        <v>2507</v>
      </c>
      <c r="B118" s="62" t="s">
        <v>647</v>
      </c>
      <c r="C118" s="14"/>
      <c r="D118" s="14"/>
      <c r="E118" s="14"/>
      <c r="F118" s="3"/>
      <c r="G118" s="8"/>
      <c r="H118" s="110"/>
    </row>
    <row r="119" spans="1:8" ht="15.75" x14ac:dyDescent="0.25">
      <c r="A119" s="48" t="s">
        <v>2508</v>
      </c>
      <c r="B119" s="62"/>
      <c r="C119" s="4"/>
      <c r="D119" s="4"/>
      <c r="E119" s="4"/>
      <c r="F119" s="4"/>
      <c r="G119" s="5"/>
      <c r="H119" s="110"/>
    </row>
    <row r="120" spans="1:8" ht="24" x14ac:dyDescent="0.25">
      <c r="A120" s="102" t="s">
        <v>35</v>
      </c>
      <c r="B120" s="140" t="s">
        <v>2487</v>
      </c>
      <c r="C120" s="143" t="s">
        <v>38</v>
      </c>
      <c r="D120" s="143"/>
      <c r="E120" s="23" t="s">
        <v>39</v>
      </c>
      <c r="F120" s="23"/>
      <c r="G120" s="42" t="s">
        <v>40</v>
      </c>
      <c r="H120" s="24" t="s">
        <v>41</v>
      </c>
    </row>
    <row r="121" spans="1:8" x14ac:dyDescent="0.25">
      <c r="A121" s="96"/>
      <c r="B121" s="96"/>
      <c r="C121" s="33" t="s">
        <v>44</v>
      </c>
      <c r="D121" s="33" t="s">
        <v>45</v>
      </c>
      <c r="E121" s="33" t="s">
        <v>46</v>
      </c>
      <c r="F121" s="39" t="s">
        <v>47</v>
      </c>
      <c r="G121" s="33"/>
      <c r="H121" s="41"/>
    </row>
    <row r="122" spans="1:8" x14ac:dyDescent="0.25">
      <c r="A122" s="60" t="s">
        <v>2509</v>
      </c>
      <c r="B122" s="60" t="s">
        <v>2297</v>
      </c>
      <c r="C122" s="64">
        <v>2</v>
      </c>
      <c r="D122" s="98">
        <v>50</v>
      </c>
      <c r="E122" s="35">
        <v>5</v>
      </c>
      <c r="F122" s="40">
        <v>2.2999999999999998</v>
      </c>
      <c r="G122" s="38" t="s">
        <v>2510</v>
      </c>
      <c r="H122" s="34">
        <f>IFERROR(_xlfn.XLOOKUP(G122,Index!$A:$A,Index!$B:$B),"")</f>
        <v>2348</v>
      </c>
    </row>
    <row r="123" spans="1:8" x14ac:dyDescent="0.25">
      <c r="A123" s="99"/>
      <c r="B123" s="99"/>
      <c r="C123" s="125" t="s">
        <v>231</v>
      </c>
      <c r="D123" s="98">
        <v>65</v>
      </c>
      <c r="E123" s="35">
        <v>7</v>
      </c>
      <c r="F123" s="40">
        <v>3.2</v>
      </c>
      <c r="G123" s="38" t="s">
        <v>2511</v>
      </c>
      <c r="H123" s="34">
        <f>IFERROR(_xlfn.XLOOKUP(G123,Index!$A:$A,Index!$B:$B),"")</f>
        <v>2348</v>
      </c>
    </row>
    <row r="124" spans="1:8" x14ac:dyDescent="0.25">
      <c r="A124" s="99"/>
      <c r="B124" s="99"/>
      <c r="C124" s="125">
        <v>3</v>
      </c>
      <c r="D124" s="98">
        <v>80</v>
      </c>
      <c r="E124" s="35">
        <v>10</v>
      </c>
      <c r="F124" s="40">
        <v>4.5</v>
      </c>
      <c r="G124" s="38" t="s">
        <v>2512</v>
      </c>
      <c r="H124" s="34">
        <f>IFERROR(_xlfn.XLOOKUP(G124,Index!$A:$A,Index!$B:$B),"")</f>
        <v>2580</v>
      </c>
    </row>
    <row r="125" spans="1:8" x14ac:dyDescent="0.25">
      <c r="A125" s="99"/>
      <c r="B125" s="99"/>
      <c r="C125" s="125">
        <v>4</v>
      </c>
      <c r="D125" s="98">
        <v>100</v>
      </c>
      <c r="E125" s="35">
        <v>15</v>
      </c>
      <c r="F125" s="40">
        <v>6.8</v>
      </c>
      <c r="G125" s="38" t="s">
        <v>2513</v>
      </c>
      <c r="H125" s="34">
        <f>IFERROR(_xlfn.XLOOKUP(G125,Index!$A:$A,Index!$B:$B),"")</f>
        <v>2915</v>
      </c>
    </row>
    <row r="126" spans="1:8" x14ac:dyDescent="0.25">
      <c r="A126" s="99"/>
      <c r="B126" s="99"/>
      <c r="C126" s="125">
        <v>5</v>
      </c>
      <c r="D126" s="98">
        <v>125</v>
      </c>
      <c r="E126" s="35">
        <v>27</v>
      </c>
      <c r="F126" s="40">
        <v>12.2</v>
      </c>
      <c r="G126" s="38" t="s">
        <v>2514</v>
      </c>
      <c r="H126" s="34">
        <f>IFERROR(_xlfn.XLOOKUP(G126,Index!$A:$A,Index!$B:$B),"")</f>
        <v>5854</v>
      </c>
    </row>
    <row r="127" spans="1:8" x14ac:dyDescent="0.25">
      <c r="A127" s="99"/>
      <c r="B127" s="99"/>
      <c r="C127" s="125">
        <v>6</v>
      </c>
      <c r="D127" s="98">
        <v>150</v>
      </c>
      <c r="E127" s="35">
        <v>35</v>
      </c>
      <c r="F127" s="40">
        <v>15.9</v>
      </c>
      <c r="G127" s="38" t="s">
        <v>2515</v>
      </c>
      <c r="H127" s="34">
        <f>IFERROR(_xlfn.XLOOKUP(G127,Index!$A:$A,Index!$B:$B),"")</f>
        <v>7510</v>
      </c>
    </row>
    <row r="128" spans="1:8" x14ac:dyDescent="0.25">
      <c r="A128" s="99"/>
      <c r="B128" s="99"/>
      <c r="C128" s="125">
        <v>8</v>
      </c>
      <c r="D128" s="98">
        <v>200</v>
      </c>
      <c r="E128" s="35">
        <v>56</v>
      </c>
      <c r="F128" s="40">
        <v>25.4</v>
      </c>
      <c r="G128" s="38" t="s">
        <v>2516</v>
      </c>
      <c r="H128" s="34">
        <f>IFERROR(_xlfn.XLOOKUP(G128,Index!$A:$A,Index!$B:$B),"")</f>
        <v>8955</v>
      </c>
    </row>
    <row r="129" spans="1:9" x14ac:dyDescent="0.25">
      <c r="A129" s="99"/>
      <c r="B129" s="99"/>
      <c r="C129" s="125">
        <v>10</v>
      </c>
      <c r="D129" s="98">
        <v>250</v>
      </c>
      <c r="E129" s="35">
        <v>80</v>
      </c>
      <c r="F129" s="40">
        <v>36.299999999999997</v>
      </c>
      <c r="G129" s="38" t="s">
        <v>2517</v>
      </c>
      <c r="H129" s="34">
        <f>IFERROR(_xlfn.XLOOKUP(G129,Index!$A:$A,Index!$B:$B),"")</f>
        <v>12988</v>
      </c>
    </row>
    <row r="130" spans="1:9" x14ac:dyDescent="0.25">
      <c r="A130" s="121"/>
      <c r="B130" s="121"/>
      <c r="C130" s="125">
        <v>12</v>
      </c>
      <c r="D130" s="98">
        <v>300</v>
      </c>
      <c r="E130" s="35">
        <v>155</v>
      </c>
      <c r="F130" s="40">
        <v>70.3</v>
      </c>
      <c r="G130" s="38" t="s">
        <v>2518</v>
      </c>
      <c r="H130" s="34">
        <f>IFERROR(_xlfn.XLOOKUP(G130,Index!$A:$A,Index!$B:$B),"")</f>
        <v>21756</v>
      </c>
    </row>
    <row r="132" spans="1:9" ht="15.75" x14ac:dyDescent="0.25">
      <c r="A132" s="62" t="s">
        <v>2507</v>
      </c>
      <c r="B132" s="62"/>
      <c r="C132" s="14"/>
      <c r="D132" s="14"/>
      <c r="E132" s="14"/>
      <c r="F132" s="3"/>
      <c r="G132" s="8"/>
      <c r="H132" s="110"/>
    </row>
    <row r="133" spans="1:9" ht="15.75" x14ac:dyDescent="0.25">
      <c r="A133" s="48" t="s">
        <v>102</v>
      </c>
      <c r="B133" s="11"/>
      <c r="C133" s="4"/>
      <c r="D133" s="4"/>
      <c r="E133" s="4"/>
      <c r="F133" s="4"/>
      <c r="G133" s="5"/>
      <c r="H133" s="110"/>
    </row>
    <row r="134" spans="1:9" ht="24" x14ac:dyDescent="0.25">
      <c r="A134" s="102" t="s">
        <v>35</v>
      </c>
      <c r="B134" s="140" t="s">
        <v>103</v>
      </c>
      <c r="C134" s="337" t="s">
        <v>38</v>
      </c>
      <c r="D134" s="337"/>
      <c r="E134" s="42" t="s">
        <v>40</v>
      </c>
      <c r="F134" s="24" t="s">
        <v>41</v>
      </c>
    </row>
    <row r="135" spans="1:9" x14ac:dyDescent="0.25">
      <c r="A135" s="96"/>
      <c r="B135" s="96"/>
      <c r="C135" s="33" t="s">
        <v>44</v>
      </c>
      <c r="D135" s="33" t="s">
        <v>45</v>
      </c>
      <c r="E135" s="104"/>
      <c r="F135" s="138"/>
      <c r="G135" s="4"/>
      <c r="H135" s="19"/>
      <c r="I135" s="19"/>
    </row>
    <row r="136" spans="1:9" x14ac:dyDescent="0.25">
      <c r="A136" s="146" t="s">
        <v>2509</v>
      </c>
      <c r="B136" s="146" t="s">
        <v>2292</v>
      </c>
      <c r="C136" s="64">
        <v>2</v>
      </c>
      <c r="D136" s="137">
        <v>50</v>
      </c>
      <c r="E136" s="38" t="s">
        <v>2890</v>
      </c>
      <c r="F136" s="34">
        <f>IFERROR(_xlfn.XLOOKUP(E136,Index!$A:$A,Index!$B:$B),"")</f>
        <v>416</v>
      </c>
    </row>
    <row r="137" spans="1:9" x14ac:dyDescent="0.25">
      <c r="A137" s="99"/>
      <c r="B137" s="144"/>
      <c r="C137" s="64" t="s">
        <v>231</v>
      </c>
      <c r="D137" s="137">
        <v>65</v>
      </c>
      <c r="E137" s="38" t="s">
        <v>2895</v>
      </c>
      <c r="F137" s="34">
        <f>IFERROR(_xlfn.XLOOKUP(E137,Index!$A:$A,Index!$B:$B),"")</f>
        <v>664.5</v>
      </c>
    </row>
    <row r="138" spans="1:9" x14ac:dyDescent="0.25">
      <c r="A138" s="99"/>
      <c r="B138" s="99"/>
      <c r="C138" s="36">
        <v>3</v>
      </c>
      <c r="D138" s="137">
        <v>80</v>
      </c>
      <c r="E138" s="38" t="s">
        <v>2899</v>
      </c>
      <c r="F138" s="34">
        <f>IFERROR(_xlfn.XLOOKUP(E138,Index!$A:$A,Index!$B:$B),"")</f>
        <v>664.5</v>
      </c>
    </row>
    <row r="139" spans="1:9" x14ac:dyDescent="0.25">
      <c r="A139" s="99"/>
      <c r="B139" s="99"/>
      <c r="C139" s="36">
        <v>4</v>
      </c>
      <c r="D139" s="137">
        <v>100</v>
      </c>
      <c r="E139" s="38" t="s">
        <v>2904</v>
      </c>
      <c r="F139" s="34">
        <f>IFERROR(_xlfn.XLOOKUP(E139,Index!$A:$A,Index!$B:$B),"")</f>
        <v>747.5</v>
      </c>
    </row>
    <row r="140" spans="1:9" x14ac:dyDescent="0.25">
      <c r="A140" s="99"/>
      <c r="B140" s="99"/>
      <c r="C140" s="36">
        <v>5</v>
      </c>
      <c r="D140" s="137">
        <v>125</v>
      </c>
      <c r="E140" s="38" t="s">
        <v>2909</v>
      </c>
      <c r="F140" s="34">
        <f>IFERROR(_xlfn.XLOOKUP(E140,Index!$A:$A,Index!$B:$B),"")</f>
        <v>914</v>
      </c>
    </row>
    <row r="141" spans="1:9" x14ac:dyDescent="0.25">
      <c r="A141" s="99"/>
      <c r="B141" s="99"/>
      <c r="C141" s="36">
        <v>6</v>
      </c>
      <c r="D141" s="137">
        <v>150</v>
      </c>
      <c r="E141" s="38" t="s">
        <v>2914</v>
      </c>
      <c r="F141" s="34">
        <f>IFERROR(_xlfn.XLOOKUP(E141,Index!$A:$A,Index!$B:$B),"")</f>
        <v>914</v>
      </c>
    </row>
    <row r="142" spans="1:9" x14ac:dyDescent="0.25">
      <c r="A142" s="99"/>
      <c r="B142" s="99"/>
      <c r="C142" s="36">
        <v>8</v>
      </c>
      <c r="D142" s="137">
        <v>200</v>
      </c>
      <c r="E142" s="38" t="s">
        <v>2918</v>
      </c>
      <c r="F142" s="34">
        <f>IFERROR(_xlfn.XLOOKUP(E142,Index!$A:$A,Index!$B:$B),"")</f>
        <v>1329</v>
      </c>
    </row>
    <row r="143" spans="1:9" x14ac:dyDescent="0.25">
      <c r="A143" s="99"/>
      <c r="B143" s="99"/>
      <c r="C143" s="36">
        <v>10</v>
      </c>
      <c r="D143" s="137">
        <v>250</v>
      </c>
      <c r="E143" s="38" t="s">
        <v>2923</v>
      </c>
      <c r="F143" s="34">
        <f>IFERROR(_xlfn.XLOOKUP(E143,Index!$A:$A,Index!$B:$B),"")</f>
        <v>2012</v>
      </c>
    </row>
    <row r="144" spans="1:9" x14ac:dyDescent="0.25">
      <c r="A144" s="99"/>
      <c r="B144" s="99"/>
      <c r="C144" s="36">
        <v>12</v>
      </c>
      <c r="D144" s="137">
        <v>300</v>
      </c>
      <c r="E144" s="38" t="s">
        <v>2927</v>
      </c>
      <c r="F144" s="34">
        <f>IFERROR(_xlfn.XLOOKUP(E144,Index!$A:$A,Index!$B:$B),"")</f>
        <v>3322</v>
      </c>
    </row>
    <row r="145" spans="1:9" x14ac:dyDescent="0.25">
      <c r="A145" s="99"/>
      <c r="B145" s="236" t="s">
        <v>2294</v>
      </c>
      <c r="C145" s="64">
        <v>2</v>
      </c>
      <c r="D145" s="137">
        <v>50</v>
      </c>
      <c r="E145" s="38" t="s">
        <v>2892</v>
      </c>
      <c r="F145" s="34">
        <f>IFERROR(_xlfn.XLOOKUP(E145,Index!$A:$A,Index!$B:$B),"")</f>
        <v>250</v>
      </c>
    </row>
    <row r="146" spans="1:9" x14ac:dyDescent="0.25">
      <c r="A146" s="99"/>
      <c r="B146" s="144"/>
      <c r="C146" s="64" t="s">
        <v>231</v>
      </c>
      <c r="D146" s="137">
        <v>65</v>
      </c>
      <c r="E146" s="38" t="s">
        <v>2897</v>
      </c>
      <c r="F146" s="34">
        <f>IFERROR(_xlfn.XLOOKUP(E146,Index!$A:$A,Index!$B:$B),"")</f>
        <v>250</v>
      </c>
    </row>
    <row r="147" spans="1:9" x14ac:dyDescent="0.25">
      <c r="A147" s="99"/>
      <c r="B147" s="99"/>
      <c r="C147" s="36">
        <v>3</v>
      </c>
      <c r="D147" s="137">
        <v>80</v>
      </c>
      <c r="E147" s="38" t="s">
        <v>2901</v>
      </c>
      <c r="F147" s="34">
        <f>IFERROR(_xlfn.XLOOKUP(E147,Index!$A:$A,Index!$B:$B),"")</f>
        <v>250</v>
      </c>
    </row>
    <row r="148" spans="1:9" x14ac:dyDescent="0.25">
      <c r="A148" s="99"/>
      <c r="B148" s="99"/>
      <c r="C148" s="36">
        <v>4</v>
      </c>
      <c r="D148" s="137">
        <v>100</v>
      </c>
      <c r="E148" s="38" t="s">
        <v>2908</v>
      </c>
      <c r="F148" s="34">
        <f>IFERROR(_xlfn.XLOOKUP(E148,Index!$A:$A,Index!$B:$B),"")</f>
        <v>332.5</v>
      </c>
      <c r="G148" s="111"/>
      <c r="H148" s="19"/>
      <c r="I148" s="19"/>
    </row>
    <row r="149" spans="1:9" x14ac:dyDescent="0.25">
      <c r="A149" s="99"/>
      <c r="B149" s="99"/>
      <c r="C149" s="36">
        <v>5</v>
      </c>
      <c r="D149" s="137">
        <v>125</v>
      </c>
      <c r="E149" s="38" t="s">
        <v>2912</v>
      </c>
      <c r="F149" s="34">
        <f>IFERROR(_xlfn.XLOOKUP(E149,Index!$A:$A,Index!$B:$B),"")</f>
        <v>332.5</v>
      </c>
      <c r="G149" s="4"/>
      <c r="H149" s="19"/>
      <c r="I149" s="19"/>
    </row>
    <row r="150" spans="1:9" x14ac:dyDescent="0.25">
      <c r="A150" s="99"/>
      <c r="B150" s="99"/>
      <c r="C150" s="36">
        <v>6</v>
      </c>
      <c r="D150" s="137">
        <v>150</v>
      </c>
      <c r="E150" s="38" t="s">
        <v>2917</v>
      </c>
      <c r="F150" s="34">
        <f>IFERROR(_xlfn.XLOOKUP(E150,Index!$A:$A,Index!$B:$B),"")</f>
        <v>332.5</v>
      </c>
    </row>
    <row r="151" spans="1:9" x14ac:dyDescent="0.25">
      <c r="A151" s="99"/>
      <c r="B151" s="99"/>
      <c r="C151" s="36">
        <v>8</v>
      </c>
      <c r="D151" s="137">
        <v>200</v>
      </c>
      <c r="E151" s="38" t="s">
        <v>2921</v>
      </c>
      <c r="F151" s="34">
        <f>IFERROR(_xlfn.XLOOKUP(E151,Index!$A:$A,Index!$B:$B),"")</f>
        <v>498.5</v>
      </c>
    </row>
    <row r="152" spans="1:9" x14ac:dyDescent="0.25">
      <c r="A152" s="99"/>
      <c r="B152" s="99"/>
      <c r="C152" s="36">
        <v>10</v>
      </c>
      <c r="D152" s="137">
        <v>250</v>
      </c>
      <c r="E152" s="38" t="s">
        <v>2924</v>
      </c>
      <c r="F152" s="34">
        <f>IFERROR(_xlfn.XLOOKUP(E152,Index!$A:$A,Index!$B:$B),"")</f>
        <v>498.5</v>
      </c>
    </row>
    <row r="153" spans="1:9" x14ac:dyDescent="0.25">
      <c r="A153" s="99"/>
      <c r="B153" s="99"/>
      <c r="C153" s="36">
        <v>12</v>
      </c>
      <c r="D153" s="137">
        <v>300</v>
      </c>
      <c r="E153" s="38" t="s">
        <v>2928</v>
      </c>
      <c r="F153" s="34">
        <f>IFERROR(_xlfn.XLOOKUP(E153,Index!$A:$A,Index!$B:$B),"")</f>
        <v>914</v>
      </c>
    </row>
    <row r="154" spans="1:9" x14ac:dyDescent="0.25">
      <c r="A154" s="99"/>
      <c r="B154" s="236" t="s">
        <v>5574</v>
      </c>
      <c r="C154" s="64">
        <v>2</v>
      </c>
      <c r="D154" s="137">
        <v>50</v>
      </c>
      <c r="E154" s="38" t="s">
        <v>2891</v>
      </c>
      <c r="F154" s="34">
        <f>IFERROR(_xlfn.XLOOKUP(E154,Index!$A:$A,Index!$B:$B),"")</f>
        <v>83.25</v>
      </c>
    </row>
    <row r="155" spans="1:9" x14ac:dyDescent="0.25">
      <c r="A155" s="99"/>
      <c r="B155" s="144"/>
      <c r="C155" s="64" t="s">
        <v>231</v>
      </c>
      <c r="D155" s="137">
        <v>65</v>
      </c>
      <c r="E155" s="38" t="s">
        <v>2896</v>
      </c>
      <c r="F155" s="34">
        <f>IFERROR(_xlfn.XLOOKUP(E155,Index!$A:$A,Index!$B:$B),"")</f>
        <v>83.25</v>
      </c>
    </row>
    <row r="156" spans="1:9" x14ac:dyDescent="0.25">
      <c r="A156" s="99"/>
      <c r="B156" s="99"/>
      <c r="C156" s="36">
        <v>3</v>
      </c>
      <c r="D156" s="137">
        <v>80</v>
      </c>
      <c r="E156" s="38" t="s">
        <v>2902</v>
      </c>
      <c r="F156" s="34">
        <f>IFERROR(_xlfn.XLOOKUP(E156,Index!$A:$A,Index!$B:$B),"")</f>
        <v>83.25</v>
      </c>
    </row>
    <row r="157" spans="1:9" x14ac:dyDescent="0.25">
      <c r="A157" s="99"/>
      <c r="B157" s="99"/>
      <c r="C157" s="36">
        <v>4</v>
      </c>
      <c r="D157" s="137">
        <v>100</v>
      </c>
      <c r="E157" s="228" t="s">
        <v>2906</v>
      </c>
      <c r="F157" s="34">
        <f>IFERROR(_xlfn.XLOOKUP(E157,Index!$A:$A,Index!$B:$B),"")</f>
        <v>83.25</v>
      </c>
    </row>
    <row r="158" spans="1:9" x14ac:dyDescent="0.25">
      <c r="A158" s="99"/>
      <c r="B158" s="99"/>
      <c r="C158" s="36">
        <v>5</v>
      </c>
      <c r="D158" s="137">
        <v>125</v>
      </c>
      <c r="E158" s="38" t="s">
        <v>2910</v>
      </c>
      <c r="F158" s="34">
        <f>IFERROR(_xlfn.XLOOKUP(E158,Index!$A:$A,Index!$B:$B),"")</f>
        <v>83.25</v>
      </c>
    </row>
    <row r="159" spans="1:9" x14ac:dyDescent="0.25">
      <c r="A159" s="99"/>
      <c r="B159" s="99"/>
      <c r="C159" s="36">
        <v>6</v>
      </c>
      <c r="D159" s="137">
        <v>150</v>
      </c>
      <c r="E159" s="38" t="s">
        <v>2916</v>
      </c>
      <c r="F159" s="34">
        <f>IFERROR(_xlfn.XLOOKUP(E159,Index!$A:$A,Index!$B:$B),"")</f>
        <v>125</v>
      </c>
    </row>
    <row r="160" spans="1:9" x14ac:dyDescent="0.25">
      <c r="A160" s="99"/>
      <c r="B160" s="99"/>
      <c r="C160" s="36">
        <v>8</v>
      </c>
      <c r="D160" s="137">
        <v>200</v>
      </c>
      <c r="E160" s="38" t="s">
        <v>2919</v>
      </c>
      <c r="F160" s="34">
        <f>IFERROR(_xlfn.XLOOKUP(E160,Index!$A:$A,Index!$B:$B),"")</f>
        <v>125</v>
      </c>
    </row>
    <row r="161" spans="1:9" x14ac:dyDescent="0.25">
      <c r="A161" s="99"/>
      <c r="B161" s="99"/>
      <c r="C161" s="36">
        <v>10</v>
      </c>
      <c r="D161" s="137">
        <v>250</v>
      </c>
      <c r="E161" s="38" t="s">
        <v>2925</v>
      </c>
      <c r="F161" s="34">
        <f>IFERROR(_xlfn.XLOOKUP(E161,Index!$A:$A,Index!$B:$B),"")</f>
        <v>125</v>
      </c>
    </row>
    <row r="162" spans="1:9" x14ac:dyDescent="0.25">
      <c r="A162" s="99"/>
      <c r="B162" s="99"/>
      <c r="C162" s="36">
        <v>12</v>
      </c>
      <c r="D162" s="137">
        <v>300</v>
      </c>
      <c r="E162" s="38" t="s">
        <v>2929</v>
      </c>
      <c r="F162" s="34">
        <f>IFERROR(_xlfn.XLOOKUP(E162,Index!$A:$A,Index!$B:$B),"")</f>
        <v>291.5</v>
      </c>
      <c r="G162" s="111"/>
      <c r="H162" s="19"/>
      <c r="I162" s="19"/>
    </row>
    <row r="163" spans="1:9" x14ac:dyDescent="0.25">
      <c r="A163" s="99"/>
      <c r="B163" s="236" t="s">
        <v>5575</v>
      </c>
      <c r="C163" s="64">
        <v>2</v>
      </c>
      <c r="D163" s="137">
        <v>50</v>
      </c>
      <c r="E163" s="38" t="s">
        <v>2893</v>
      </c>
      <c r="F163" s="34">
        <f>IFERROR(_xlfn.XLOOKUP(E163,Index!$A:$A,Index!$B:$B),"")</f>
        <v>209</v>
      </c>
      <c r="G163" s="4"/>
      <c r="H163" s="19"/>
      <c r="I163" s="19"/>
    </row>
    <row r="164" spans="1:9" x14ac:dyDescent="0.25">
      <c r="A164" s="99"/>
      <c r="B164" s="144"/>
      <c r="C164" s="64" t="s">
        <v>231</v>
      </c>
      <c r="D164" s="137">
        <v>65</v>
      </c>
      <c r="E164" s="38" t="s">
        <v>2898</v>
      </c>
      <c r="F164" s="34">
        <f>IFERROR(_xlfn.XLOOKUP(E164,Index!$A:$A,Index!$B:$B),"")</f>
        <v>209</v>
      </c>
    </row>
    <row r="165" spans="1:9" x14ac:dyDescent="0.25">
      <c r="A165" s="99"/>
      <c r="B165" s="99"/>
      <c r="C165" s="36">
        <v>3</v>
      </c>
      <c r="D165" s="137">
        <v>80</v>
      </c>
      <c r="E165" s="38" t="s">
        <v>2903</v>
      </c>
      <c r="F165" s="34">
        <f>IFERROR(_xlfn.XLOOKUP(E165,Index!$A:$A,Index!$B:$B),"")</f>
        <v>209</v>
      </c>
    </row>
    <row r="166" spans="1:9" x14ac:dyDescent="0.25">
      <c r="A166" s="99"/>
      <c r="B166" s="99"/>
      <c r="C166" s="36">
        <v>4</v>
      </c>
      <c r="D166" s="137">
        <v>100</v>
      </c>
      <c r="E166" s="38" t="s">
        <v>2905</v>
      </c>
      <c r="F166" s="34">
        <f>IFERROR(_xlfn.XLOOKUP(E166,Index!$A:$A,Index!$B:$B),"")</f>
        <v>209</v>
      </c>
    </row>
    <row r="167" spans="1:9" x14ac:dyDescent="0.25">
      <c r="A167" s="99"/>
      <c r="B167" s="99"/>
      <c r="C167" s="36">
        <v>5</v>
      </c>
      <c r="D167" s="137">
        <v>125</v>
      </c>
      <c r="E167" s="38" t="s">
        <v>2911</v>
      </c>
      <c r="F167" s="34">
        <f>IFERROR(_xlfn.XLOOKUP(E167,Index!$A:$A,Index!$B:$B),"")</f>
        <v>250</v>
      </c>
    </row>
    <row r="168" spans="1:9" x14ac:dyDescent="0.25">
      <c r="A168" s="99"/>
      <c r="B168" s="99"/>
      <c r="C168" s="36">
        <v>6</v>
      </c>
      <c r="D168" s="137">
        <v>150</v>
      </c>
      <c r="E168" s="38" t="s">
        <v>2915</v>
      </c>
      <c r="F168" s="34">
        <f>IFERROR(_xlfn.XLOOKUP(E168,Index!$A:$A,Index!$B:$B),"")</f>
        <v>250</v>
      </c>
    </row>
    <row r="169" spans="1:9" x14ac:dyDescent="0.25">
      <c r="A169" s="99"/>
      <c r="B169" s="99"/>
      <c r="C169" s="36">
        <v>8</v>
      </c>
      <c r="D169" s="137">
        <v>200</v>
      </c>
      <c r="E169" s="38" t="s">
        <v>2920</v>
      </c>
      <c r="F169" s="34">
        <f>IFERROR(_xlfn.XLOOKUP(E169,Index!$A:$A,Index!$B:$B),"")</f>
        <v>250</v>
      </c>
    </row>
    <row r="170" spans="1:9" x14ac:dyDescent="0.25">
      <c r="A170" s="99"/>
      <c r="B170" s="99"/>
      <c r="C170" s="36">
        <v>10</v>
      </c>
      <c r="D170" s="137">
        <v>250</v>
      </c>
      <c r="E170" s="38" t="s">
        <v>2926</v>
      </c>
      <c r="F170" s="34">
        <f>IFERROR(_xlfn.XLOOKUP(E170,Index!$A:$A,Index!$B:$B),"")</f>
        <v>541</v>
      </c>
    </row>
    <row r="171" spans="1:9" x14ac:dyDescent="0.25">
      <c r="A171" s="99"/>
      <c r="B171" s="99"/>
      <c r="C171" s="36">
        <v>12</v>
      </c>
      <c r="D171" s="137">
        <v>300</v>
      </c>
      <c r="E171" s="38" t="s">
        <v>2930</v>
      </c>
      <c r="F171" s="34">
        <f>IFERROR(_xlfn.XLOOKUP(E171,Index!$A:$A,Index!$B:$B),"")</f>
        <v>541</v>
      </c>
    </row>
    <row r="172" spans="1:9" x14ac:dyDescent="0.25">
      <c r="A172" s="99"/>
      <c r="B172" s="236" t="s">
        <v>5576</v>
      </c>
      <c r="C172" s="64">
        <v>2</v>
      </c>
      <c r="D172" s="137">
        <v>50</v>
      </c>
      <c r="E172" s="38" t="s">
        <v>2894</v>
      </c>
      <c r="F172" s="34">
        <f>IFERROR(_xlfn.XLOOKUP(E172,Index!$A:$A,Index!$B:$B),"")</f>
        <v>25.5</v>
      </c>
    </row>
    <row r="173" spans="1:9" x14ac:dyDescent="0.25">
      <c r="A173" s="99"/>
      <c r="B173" s="144"/>
      <c r="C173" s="64" t="s">
        <v>231</v>
      </c>
      <c r="D173" s="137">
        <v>65</v>
      </c>
      <c r="E173" s="38" t="s">
        <v>2894</v>
      </c>
      <c r="F173" s="34">
        <f>IFERROR(_xlfn.XLOOKUP(E173,Index!$A:$A,Index!$B:$B),"")</f>
        <v>25.5</v>
      </c>
    </row>
    <row r="174" spans="1:9" x14ac:dyDescent="0.25">
      <c r="A174" s="99"/>
      <c r="B174" s="99"/>
      <c r="C174" s="36">
        <v>3</v>
      </c>
      <c r="D174" s="137">
        <v>80</v>
      </c>
      <c r="E174" s="38" t="s">
        <v>2900</v>
      </c>
      <c r="F174" s="34">
        <f>IFERROR(_xlfn.XLOOKUP(E174,Index!$A:$A,Index!$B:$B),"")</f>
        <v>20</v>
      </c>
    </row>
    <row r="175" spans="1:9" x14ac:dyDescent="0.25">
      <c r="A175" s="99"/>
      <c r="B175" s="99"/>
      <c r="C175" s="36">
        <v>4</v>
      </c>
      <c r="D175" s="137">
        <v>100</v>
      </c>
      <c r="E175" s="38" t="s">
        <v>2907</v>
      </c>
      <c r="F175" s="34">
        <f>IFERROR(_xlfn.XLOOKUP(E175,Index!$A:$A,Index!$B:$B),"")</f>
        <v>20</v>
      </c>
    </row>
    <row r="176" spans="1:9" x14ac:dyDescent="0.25">
      <c r="A176" s="99"/>
      <c r="B176" s="99"/>
      <c r="C176" s="36">
        <v>5</v>
      </c>
      <c r="D176" s="137">
        <v>125</v>
      </c>
      <c r="E176" s="38" t="s">
        <v>2913</v>
      </c>
      <c r="F176" s="34">
        <f>IFERROR(_xlfn.XLOOKUP(E176,Index!$A:$A,Index!$B:$B),"")</f>
        <v>20</v>
      </c>
      <c r="G176" s="111"/>
      <c r="H176" s="19"/>
      <c r="I176" s="19"/>
    </row>
    <row r="177" spans="1:9" x14ac:dyDescent="0.25">
      <c r="A177" s="99"/>
      <c r="B177" s="99"/>
      <c r="C177" s="36">
        <v>6</v>
      </c>
      <c r="D177" s="137">
        <v>150</v>
      </c>
      <c r="E177" s="38" t="s">
        <v>2913</v>
      </c>
      <c r="F177" s="34">
        <f>IFERROR(_xlfn.XLOOKUP(E177,Index!$A:$A,Index!$B:$B),"")</f>
        <v>20</v>
      </c>
      <c r="G177" s="4"/>
      <c r="H177" s="19"/>
      <c r="I177" s="19"/>
    </row>
    <row r="178" spans="1:9" x14ac:dyDescent="0.25">
      <c r="A178" s="99"/>
      <c r="B178" s="99"/>
      <c r="C178" s="36">
        <v>8</v>
      </c>
      <c r="D178" s="137">
        <v>200</v>
      </c>
      <c r="E178" s="38" t="s">
        <v>2922</v>
      </c>
      <c r="F178" s="34">
        <f>IFERROR(_xlfn.XLOOKUP(E178,Index!$A:$A,Index!$B:$B),"")</f>
        <v>20</v>
      </c>
    </row>
    <row r="179" spans="1:9" x14ac:dyDescent="0.25">
      <c r="A179" s="99"/>
      <c r="B179" s="99"/>
      <c r="C179" s="36">
        <v>10</v>
      </c>
      <c r="D179" s="137">
        <v>250</v>
      </c>
      <c r="E179" s="38" t="s">
        <v>2922</v>
      </c>
      <c r="F179" s="34">
        <f>IFERROR(_xlfn.XLOOKUP(E179,Index!$A:$A,Index!$B:$B),"")</f>
        <v>20</v>
      </c>
    </row>
    <row r="180" spans="1:9" x14ac:dyDescent="0.25">
      <c r="A180" s="121"/>
      <c r="B180" s="121"/>
      <c r="C180" s="36">
        <v>12</v>
      </c>
      <c r="D180" s="137">
        <v>300</v>
      </c>
      <c r="E180" s="38" t="s">
        <v>2922</v>
      </c>
      <c r="F180" s="34">
        <f>IFERROR(_xlfn.XLOOKUP(E180,Index!$A:$A,Index!$B:$B),"")</f>
        <v>20</v>
      </c>
    </row>
    <row r="182" spans="1:9" ht="15.75" x14ac:dyDescent="0.25">
      <c r="A182" s="62" t="s">
        <v>2519</v>
      </c>
      <c r="B182" s="62" t="s">
        <v>647</v>
      </c>
      <c r="C182" s="14"/>
      <c r="D182" s="14"/>
      <c r="E182" s="14"/>
      <c r="F182" s="3"/>
      <c r="G182" s="8"/>
      <c r="H182" s="110"/>
    </row>
    <row r="183" spans="1:9" ht="15.75" x14ac:dyDescent="0.25">
      <c r="A183" s="48" t="s">
        <v>2520</v>
      </c>
      <c r="B183" s="62"/>
      <c r="C183" s="4"/>
      <c r="D183" s="4"/>
      <c r="E183" s="4"/>
      <c r="F183" s="4"/>
      <c r="G183" s="5"/>
      <c r="H183" s="110"/>
    </row>
    <row r="184" spans="1:9" ht="24" x14ac:dyDescent="0.25">
      <c r="A184" s="102" t="s">
        <v>35</v>
      </c>
      <c r="B184" s="140" t="s">
        <v>2487</v>
      </c>
      <c r="C184" s="143" t="s">
        <v>38</v>
      </c>
      <c r="D184" s="143"/>
      <c r="E184" s="23" t="s">
        <v>39</v>
      </c>
      <c r="F184" s="23"/>
      <c r="G184" s="42" t="s">
        <v>40</v>
      </c>
      <c r="H184" s="24" t="s">
        <v>41</v>
      </c>
    </row>
    <row r="185" spans="1:9" x14ac:dyDescent="0.25">
      <c r="A185" s="96"/>
      <c r="B185" s="96"/>
      <c r="C185" s="33" t="s">
        <v>44</v>
      </c>
      <c r="D185" s="33" t="s">
        <v>45</v>
      </c>
      <c r="E185" s="33" t="s">
        <v>46</v>
      </c>
      <c r="F185" s="39" t="s">
        <v>47</v>
      </c>
      <c r="G185" s="33"/>
      <c r="H185" s="41"/>
    </row>
    <row r="186" spans="1:9" x14ac:dyDescent="0.25">
      <c r="A186" s="60" t="s">
        <v>2521</v>
      </c>
      <c r="B186" s="60" t="s">
        <v>2522</v>
      </c>
      <c r="C186" s="64">
        <v>2</v>
      </c>
      <c r="D186" s="98">
        <v>50</v>
      </c>
      <c r="E186" s="35">
        <v>5</v>
      </c>
      <c r="F186" s="40">
        <v>2.2999999999999998</v>
      </c>
      <c r="G186" s="38" t="s">
        <v>2523</v>
      </c>
      <c r="H186" s="34">
        <f>IFERROR(_xlfn.XLOOKUP(G186,Index!$A:$A,Index!$B:$B),"")</f>
        <v>3170</v>
      </c>
    </row>
    <row r="187" spans="1:9" x14ac:dyDescent="0.25">
      <c r="A187" s="99"/>
      <c r="B187" s="99"/>
      <c r="C187" s="125" t="s">
        <v>231</v>
      </c>
      <c r="D187" s="98">
        <v>65</v>
      </c>
      <c r="E187" s="35">
        <v>7</v>
      </c>
      <c r="F187" s="40">
        <v>3.2</v>
      </c>
      <c r="G187" s="38" t="s">
        <v>2524</v>
      </c>
      <c r="H187" s="34">
        <f>IFERROR(_xlfn.XLOOKUP(G187,Index!$A:$A,Index!$B:$B),"")</f>
        <v>3982</v>
      </c>
    </row>
    <row r="188" spans="1:9" x14ac:dyDescent="0.25">
      <c r="A188" s="99"/>
      <c r="B188" s="99"/>
      <c r="C188" s="125">
        <v>3</v>
      </c>
      <c r="D188" s="98">
        <v>80</v>
      </c>
      <c r="E188" s="35">
        <v>10</v>
      </c>
      <c r="F188" s="40">
        <v>4.5</v>
      </c>
      <c r="G188" s="38" t="s">
        <v>2525</v>
      </c>
      <c r="H188" s="34">
        <f>IFERROR(_xlfn.XLOOKUP(G188,Index!$A:$A,Index!$B:$B),"")</f>
        <v>3750</v>
      </c>
    </row>
    <row r="189" spans="1:9" x14ac:dyDescent="0.25">
      <c r="A189" s="99"/>
      <c r="B189" s="99"/>
      <c r="C189" s="125">
        <v>4</v>
      </c>
      <c r="D189" s="98">
        <v>100</v>
      </c>
      <c r="E189" s="35">
        <v>15</v>
      </c>
      <c r="F189" s="40">
        <v>6.8</v>
      </c>
      <c r="G189" s="38" t="s">
        <v>2526</v>
      </c>
      <c r="H189" s="34">
        <f>IFERROR(_xlfn.XLOOKUP(G189,Index!$A:$A,Index!$B:$B),"")</f>
        <v>4905</v>
      </c>
    </row>
    <row r="190" spans="1:9" x14ac:dyDescent="0.25">
      <c r="A190" s="99"/>
      <c r="B190" s="99"/>
      <c r="C190" s="125">
        <v>5</v>
      </c>
      <c r="D190" s="98">
        <v>125</v>
      </c>
      <c r="E190" s="35">
        <v>27</v>
      </c>
      <c r="F190" s="40">
        <v>12.2</v>
      </c>
      <c r="G190" s="38" t="s">
        <v>2527</v>
      </c>
      <c r="H190" s="34">
        <f>IFERROR(_xlfn.XLOOKUP(G190,Index!$A:$A,Index!$B:$B),"")</f>
        <v>6127</v>
      </c>
    </row>
    <row r="191" spans="1:9" x14ac:dyDescent="0.25">
      <c r="A191" s="99"/>
      <c r="B191" s="99"/>
      <c r="C191" s="125">
        <v>6</v>
      </c>
      <c r="D191" s="98">
        <v>150</v>
      </c>
      <c r="E191" s="35">
        <v>35</v>
      </c>
      <c r="F191" s="40">
        <v>15.9</v>
      </c>
      <c r="G191" s="38" t="s">
        <v>2528</v>
      </c>
      <c r="H191" s="34">
        <f>IFERROR(_xlfn.XLOOKUP(G191,Index!$A:$A,Index!$B:$B),"")</f>
        <v>7825</v>
      </c>
    </row>
    <row r="192" spans="1:9" x14ac:dyDescent="0.25">
      <c r="A192" s="99"/>
      <c r="B192" s="99"/>
      <c r="C192" s="125">
        <v>8</v>
      </c>
      <c r="D192" s="98">
        <v>200</v>
      </c>
      <c r="E192" s="35">
        <v>56</v>
      </c>
      <c r="F192" s="40">
        <v>25.4</v>
      </c>
      <c r="G192" s="38" t="s">
        <v>2529</v>
      </c>
      <c r="H192" s="34">
        <f>IFERROR(_xlfn.XLOOKUP(G192,Index!$A:$A,Index!$B:$B),"")</f>
        <v>9308</v>
      </c>
    </row>
    <row r="193" spans="1:9" x14ac:dyDescent="0.25">
      <c r="A193" s="99"/>
      <c r="B193" s="99"/>
      <c r="C193" s="125">
        <v>10</v>
      </c>
      <c r="D193" s="98">
        <v>250</v>
      </c>
      <c r="E193" s="35">
        <v>80</v>
      </c>
      <c r="F193" s="40">
        <v>36.299999999999997</v>
      </c>
      <c r="G193" s="38" t="s">
        <v>2530</v>
      </c>
      <c r="H193" s="34">
        <f>IFERROR(_xlfn.XLOOKUP(G193,Index!$A:$A,Index!$B:$B),"")</f>
        <v>13349</v>
      </c>
    </row>
    <row r="194" spans="1:9" x14ac:dyDescent="0.25">
      <c r="A194" s="121"/>
      <c r="B194" s="121"/>
      <c r="C194" s="125">
        <v>12</v>
      </c>
      <c r="D194" s="98">
        <v>300</v>
      </c>
      <c r="E194" s="35">
        <v>155</v>
      </c>
      <c r="F194" s="40">
        <v>70.3</v>
      </c>
      <c r="G194" s="38" t="s">
        <v>2531</v>
      </c>
      <c r="H194" s="34">
        <f>IFERROR(_xlfn.XLOOKUP(G194,Index!$A:$A,Index!$B:$B),"")</f>
        <v>22943</v>
      </c>
    </row>
    <row r="196" spans="1:9" ht="15.75" x14ac:dyDescent="0.25">
      <c r="A196" s="62" t="s">
        <v>2519</v>
      </c>
      <c r="B196" s="62"/>
      <c r="C196" s="14"/>
      <c r="D196" s="14"/>
      <c r="E196" s="14"/>
      <c r="F196" s="3"/>
      <c r="G196" s="8"/>
      <c r="H196" s="110"/>
    </row>
    <row r="197" spans="1:9" ht="15.75" x14ac:dyDescent="0.25">
      <c r="A197" s="48" t="s">
        <v>102</v>
      </c>
      <c r="B197" s="11"/>
      <c r="C197" s="4"/>
      <c r="D197" s="4"/>
      <c r="E197" s="4"/>
      <c r="F197" s="4"/>
      <c r="G197" s="5"/>
      <c r="H197" s="110"/>
    </row>
    <row r="198" spans="1:9" ht="24" x14ac:dyDescent="0.25">
      <c r="A198" s="102" t="s">
        <v>35</v>
      </c>
      <c r="B198" s="140" t="s">
        <v>103</v>
      </c>
      <c r="C198" s="337" t="s">
        <v>38</v>
      </c>
      <c r="D198" s="337"/>
      <c r="E198" s="42" t="s">
        <v>40</v>
      </c>
      <c r="F198" s="24" t="s">
        <v>41</v>
      </c>
    </row>
    <row r="199" spans="1:9" x14ac:dyDescent="0.25">
      <c r="A199" s="96"/>
      <c r="B199" s="96"/>
      <c r="C199" s="33" t="s">
        <v>44</v>
      </c>
      <c r="D199" s="33" t="s">
        <v>45</v>
      </c>
      <c r="E199" s="104"/>
      <c r="F199" s="138"/>
    </row>
    <row r="200" spans="1:9" x14ac:dyDescent="0.25">
      <c r="A200" s="146" t="s">
        <v>2521</v>
      </c>
      <c r="B200" s="146" t="s">
        <v>2292</v>
      </c>
      <c r="C200" s="64">
        <v>2</v>
      </c>
      <c r="D200" s="137">
        <v>50</v>
      </c>
      <c r="E200" s="38" t="s">
        <v>2890</v>
      </c>
      <c r="F200" s="34">
        <f>IFERROR(_xlfn.XLOOKUP(E200,Index!$A:$A,Index!$B:$B),"")</f>
        <v>416</v>
      </c>
    </row>
    <row r="201" spans="1:9" x14ac:dyDescent="0.25">
      <c r="A201" s="99"/>
      <c r="B201" s="144"/>
      <c r="C201" s="64" t="s">
        <v>231</v>
      </c>
      <c r="D201" s="137">
        <v>65</v>
      </c>
      <c r="E201" s="38" t="s">
        <v>2895</v>
      </c>
      <c r="F201" s="34">
        <f>IFERROR(_xlfn.XLOOKUP(E201,Index!$A:$A,Index!$B:$B),"")</f>
        <v>664.5</v>
      </c>
    </row>
    <row r="202" spans="1:9" x14ac:dyDescent="0.25">
      <c r="A202" s="99"/>
      <c r="B202" s="99"/>
      <c r="C202" s="36">
        <v>3</v>
      </c>
      <c r="D202" s="137">
        <v>80</v>
      </c>
      <c r="E202" s="38" t="s">
        <v>2899</v>
      </c>
      <c r="F202" s="34">
        <f>IFERROR(_xlfn.XLOOKUP(E202,Index!$A:$A,Index!$B:$B),"")</f>
        <v>664.5</v>
      </c>
    </row>
    <row r="203" spans="1:9" x14ac:dyDescent="0.25">
      <c r="A203" s="99"/>
      <c r="B203" s="99"/>
      <c r="C203" s="36">
        <v>4</v>
      </c>
      <c r="D203" s="137">
        <v>100</v>
      </c>
      <c r="E203" s="38" t="s">
        <v>2904</v>
      </c>
      <c r="F203" s="34">
        <f>IFERROR(_xlfn.XLOOKUP(E203,Index!$A:$A,Index!$B:$B),"")</f>
        <v>747.5</v>
      </c>
    </row>
    <row r="204" spans="1:9" x14ac:dyDescent="0.25">
      <c r="A204" s="99"/>
      <c r="B204" s="99"/>
      <c r="C204" s="36">
        <v>5</v>
      </c>
      <c r="D204" s="137">
        <v>125</v>
      </c>
      <c r="E204" s="38" t="s">
        <v>2943</v>
      </c>
      <c r="F204" s="34">
        <f>IFERROR(_xlfn.XLOOKUP(E204,Index!$A:$A,Index!$B:$B),"")</f>
        <v>914</v>
      </c>
      <c r="G204" s="111"/>
      <c r="H204" s="19"/>
      <c r="I204" s="19"/>
    </row>
    <row r="205" spans="1:9" x14ac:dyDescent="0.25">
      <c r="A205" s="99"/>
      <c r="B205" s="99"/>
      <c r="C205" s="36">
        <v>6</v>
      </c>
      <c r="D205" s="137">
        <v>150</v>
      </c>
      <c r="E205" s="38" t="s">
        <v>2946</v>
      </c>
      <c r="F205" s="34">
        <f>IFERROR(_xlfn.XLOOKUP(E205,Index!$A:$A,Index!$B:$B),"")</f>
        <v>914</v>
      </c>
      <c r="G205" s="4"/>
      <c r="H205" s="19"/>
      <c r="I205" s="19"/>
    </row>
    <row r="206" spans="1:9" x14ac:dyDescent="0.25">
      <c r="A206" s="99"/>
      <c r="B206" s="99"/>
      <c r="C206" s="36">
        <v>8</v>
      </c>
      <c r="D206" s="137">
        <v>200</v>
      </c>
      <c r="E206" s="38" t="s">
        <v>2948</v>
      </c>
      <c r="F206" s="34">
        <f>IFERROR(_xlfn.XLOOKUP(E206,Index!$A:$A,Index!$B:$B),"")</f>
        <v>4982</v>
      </c>
    </row>
    <row r="207" spans="1:9" x14ac:dyDescent="0.25">
      <c r="A207" s="99"/>
      <c r="B207" s="99"/>
      <c r="C207" s="36">
        <v>10</v>
      </c>
      <c r="D207" s="137">
        <v>250</v>
      </c>
      <c r="E207" s="38" t="s">
        <v>2951</v>
      </c>
      <c r="F207" s="34">
        <f>IFERROR(_xlfn.XLOOKUP(E207,Index!$A:$A,Index!$B:$B),"")</f>
        <v>2012</v>
      </c>
    </row>
    <row r="208" spans="1:9" x14ac:dyDescent="0.25">
      <c r="A208" s="99"/>
      <c r="B208" s="99"/>
      <c r="C208" s="36">
        <v>12</v>
      </c>
      <c r="D208" s="137">
        <v>300</v>
      </c>
      <c r="E208" s="38" t="s">
        <v>2953</v>
      </c>
      <c r="F208" s="34">
        <f>IFERROR(_xlfn.XLOOKUP(E208,Index!$A:$A,Index!$B:$B),"")</f>
        <v>3322</v>
      </c>
    </row>
    <row r="209" spans="1:9" x14ac:dyDescent="0.25">
      <c r="A209" s="99"/>
      <c r="B209" s="236" t="s">
        <v>2294</v>
      </c>
      <c r="C209" s="64">
        <v>2</v>
      </c>
      <c r="D209" s="137">
        <v>50</v>
      </c>
      <c r="E209" s="38" t="s">
        <v>2892</v>
      </c>
      <c r="F209" s="34">
        <f>IFERROR(_xlfn.XLOOKUP(E209,Index!$A:$A,Index!$B:$B),"")</f>
        <v>250</v>
      </c>
    </row>
    <row r="210" spans="1:9" x14ac:dyDescent="0.25">
      <c r="A210" s="99"/>
      <c r="B210" s="144"/>
      <c r="C210" s="64" t="s">
        <v>231</v>
      </c>
      <c r="D210" s="137">
        <v>65</v>
      </c>
      <c r="E210" s="38" t="s">
        <v>2897</v>
      </c>
      <c r="F210" s="34">
        <f>IFERROR(_xlfn.XLOOKUP(E210,Index!$A:$A,Index!$B:$B),"")</f>
        <v>250</v>
      </c>
    </row>
    <row r="211" spans="1:9" x14ac:dyDescent="0.25">
      <c r="A211" s="99"/>
      <c r="B211" s="99"/>
      <c r="C211" s="36">
        <v>3</v>
      </c>
      <c r="D211" s="137">
        <v>80</v>
      </c>
      <c r="E211" s="38" t="s">
        <v>2901</v>
      </c>
      <c r="F211" s="34">
        <f>IFERROR(_xlfn.XLOOKUP(E211,Index!$A:$A,Index!$B:$B),"")</f>
        <v>250</v>
      </c>
    </row>
    <row r="212" spans="1:9" x14ac:dyDescent="0.25">
      <c r="A212" s="99"/>
      <c r="B212" s="99"/>
      <c r="C212" s="36">
        <v>4</v>
      </c>
      <c r="D212" s="137">
        <v>100</v>
      </c>
      <c r="E212" s="38" t="s">
        <v>2908</v>
      </c>
      <c r="F212" s="34">
        <f>IFERROR(_xlfn.XLOOKUP(E212,Index!$A:$A,Index!$B:$B),"")</f>
        <v>332.5</v>
      </c>
    </row>
    <row r="213" spans="1:9" x14ac:dyDescent="0.25">
      <c r="A213" s="99"/>
      <c r="B213" s="99"/>
      <c r="C213" s="36">
        <v>5</v>
      </c>
      <c r="D213" s="137">
        <v>125</v>
      </c>
      <c r="E213" s="38" t="s">
        <v>2912</v>
      </c>
      <c r="F213" s="34">
        <f>IFERROR(_xlfn.XLOOKUP(E213,Index!$A:$A,Index!$B:$B),"")</f>
        <v>332.5</v>
      </c>
    </row>
    <row r="214" spans="1:9" x14ac:dyDescent="0.25">
      <c r="A214" s="99"/>
      <c r="B214" s="99"/>
      <c r="C214" s="36">
        <v>6</v>
      </c>
      <c r="D214" s="137">
        <v>150</v>
      </c>
      <c r="E214" s="38" t="s">
        <v>2917</v>
      </c>
      <c r="F214" s="34">
        <f>IFERROR(_xlfn.XLOOKUP(E214,Index!$A:$A,Index!$B:$B),"")</f>
        <v>332.5</v>
      </c>
    </row>
    <row r="215" spans="1:9" x14ac:dyDescent="0.25">
      <c r="A215" s="99"/>
      <c r="B215" s="99"/>
      <c r="C215" s="36">
        <v>8</v>
      </c>
      <c r="D215" s="137">
        <v>200</v>
      </c>
      <c r="E215" s="38" t="s">
        <v>2921</v>
      </c>
      <c r="F215" s="34">
        <f>IFERROR(_xlfn.XLOOKUP(E215,Index!$A:$A,Index!$B:$B),"")</f>
        <v>498.5</v>
      </c>
    </row>
    <row r="216" spans="1:9" x14ac:dyDescent="0.25">
      <c r="A216" s="99"/>
      <c r="B216" s="99"/>
      <c r="C216" s="36">
        <v>10</v>
      </c>
      <c r="D216" s="137">
        <v>250</v>
      </c>
      <c r="E216" s="38" t="s">
        <v>2924</v>
      </c>
      <c r="F216" s="34">
        <f>IFERROR(_xlfn.XLOOKUP(E216,Index!$A:$A,Index!$B:$B),"")</f>
        <v>498.5</v>
      </c>
    </row>
    <row r="217" spans="1:9" x14ac:dyDescent="0.25">
      <c r="A217" s="99"/>
      <c r="B217" s="99"/>
      <c r="C217" s="36">
        <v>12</v>
      </c>
      <c r="D217" s="137">
        <v>300</v>
      </c>
      <c r="E217" s="38" t="s">
        <v>2928</v>
      </c>
      <c r="F217" s="34">
        <f>IFERROR(_xlfn.XLOOKUP(E217,Index!$A:$A,Index!$B:$B),"")</f>
        <v>914</v>
      </c>
    </row>
    <row r="218" spans="1:9" x14ac:dyDescent="0.25">
      <c r="A218" s="99"/>
      <c r="B218" s="236" t="s">
        <v>5574</v>
      </c>
      <c r="C218" s="64">
        <v>2</v>
      </c>
      <c r="D218" s="137">
        <v>50</v>
      </c>
      <c r="E218" s="38" t="s">
        <v>2936</v>
      </c>
      <c r="F218" s="34">
        <f>IFERROR(_xlfn.XLOOKUP(E218,Index!$A:$A,Index!$B:$B),"")</f>
        <v>83.25</v>
      </c>
      <c r="G218" s="111"/>
      <c r="H218" s="19"/>
      <c r="I218" s="19"/>
    </row>
    <row r="219" spans="1:9" x14ac:dyDescent="0.25">
      <c r="A219" s="99"/>
      <c r="B219" s="144"/>
      <c r="C219" s="64" t="s">
        <v>231</v>
      </c>
      <c r="D219" s="137">
        <v>65</v>
      </c>
      <c r="E219" s="38" t="s">
        <v>2938</v>
      </c>
      <c r="F219" s="34">
        <f>IFERROR(_xlfn.XLOOKUP(E219,Index!$A:$A,Index!$B:$B),"")</f>
        <v>83.25</v>
      </c>
      <c r="G219" s="4"/>
      <c r="H219" s="19"/>
      <c r="I219" s="19"/>
    </row>
    <row r="220" spans="1:9" x14ac:dyDescent="0.25">
      <c r="A220" s="99"/>
      <c r="B220" s="99"/>
      <c r="C220" s="36">
        <v>3</v>
      </c>
      <c r="D220" s="137">
        <v>80</v>
      </c>
      <c r="E220" s="38" t="s">
        <v>2939</v>
      </c>
      <c r="F220" s="34">
        <f>IFERROR(_xlfn.XLOOKUP(E220,Index!$A:$A,Index!$B:$B),"")</f>
        <v>83.25</v>
      </c>
    </row>
    <row r="221" spans="1:9" x14ac:dyDescent="0.25">
      <c r="A221" s="99"/>
      <c r="B221" s="99"/>
      <c r="C221" s="36">
        <v>4</v>
      </c>
      <c r="D221" s="137">
        <v>100</v>
      </c>
      <c r="E221" s="228" t="s">
        <v>2941</v>
      </c>
      <c r="F221" s="34">
        <f>IFERROR(_xlfn.XLOOKUP(E221,Index!$A:$A,Index!$B:$B),"")</f>
        <v>83.25</v>
      </c>
    </row>
    <row r="222" spans="1:9" x14ac:dyDescent="0.25">
      <c r="A222" s="99"/>
      <c r="B222" s="99"/>
      <c r="C222" s="36">
        <v>5</v>
      </c>
      <c r="D222" s="137">
        <v>125</v>
      </c>
      <c r="E222" s="38" t="s">
        <v>2944</v>
      </c>
      <c r="F222" s="34">
        <f>IFERROR(_xlfn.XLOOKUP(E222,Index!$A:$A,Index!$B:$B),"")</f>
        <v>83.25</v>
      </c>
    </row>
    <row r="223" spans="1:9" x14ac:dyDescent="0.25">
      <c r="A223" s="99"/>
      <c r="B223" s="99"/>
      <c r="C223" s="36">
        <v>6</v>
      </c>
      <c r="D223" s="137">
        <v>150</v>
      </c>
      <c r="E223" s="38" t="s">
        <v>2947</v>
      </c>
      <c r="F223" s="34">
        <f>IFERROR(_xlfn.XLOOKUP(E223,Index!$A:$A,Index!$B:$B),"")</f>
        <v>125</v>
      </c>
    </row>
    <row r="224" spans="1:9" x14ac:dyDescent="0.25">
      <c r="A224" s="99"/>
      <c r="B224" s="99"/>
      <c r="C224" s="36">
        <v>8</v>
      </c>
      <c r="D224" s="137">
        <v>200</v>
      </c>
      <c r="E224" s="38" t="s">
        <v>2949</v>
      </c>
      <c r="F224" s="34">
        <f>IFERROR(_xlfn.XLOOKUP(E224,Index!$A:$A,Index!$B:$B),"")</f>
        <v>125</v>
      </c>
    </row>
    <row r="225" spans="1:9" x14ac:dyDescent="0.25">
      <c r="A225" s="99"/>
      <c r="B225" s="99"/>
      <c r="C225" s="36">
        <v>10</v>
      </c>
      <c r="D225" s="137">
        <v>250</v>
      </c>
      <c r="E225" s="38" t="s">
        <v>2952</v>
      </c>
      <c r="F225" s="34">
        <f>IFERROR(_xlfn.XLOOKUP(E225,Index!$A:$A,Index!$B:$B),"")</f>
        <v>1107</v>
      </c>
    </row>
    <row r="226" spans="1:9" x14ac:dyDescent="0.25">
      <c r="A226" s="99"/>
      <c r="B226" s="99"/>
      <c r="C226" s="36">
        <v>12</v>
      </c>
      <c r="D226" s="137">
        <v>300</v>
      </c>
      <c r="E226" s="38" t="s">
        <v>2929</v>
      </c>
      <c r="F226" s="34">
        <f>IFERROR(_xlfn.XLOOKUP(E226,Index!$A:$A,Index!$B:$B),"")</f>
        <v>291.5</v>
      </c>
    </row>
    <row r="227" spans="1:9" x14ac:dyDescent="0.25">
      <c r="A227" s="99"/>
      <c r="B227" s="236" t="s">
        <v>5575</v>
      </c>
      <c r="C227" s="64">
        <v>2</v>
      </c>
      <c r="D227" s="137">
        <v>50</v>
      </c>
      <c r="E227" s="38" t="s">
        <v>2893</v>
      </c>
      <c r="F227" s="34">
        <f>IFERROR(_xlfn.XLOOKUP(E227,Index!$A:$A,Index!$B:$B),"")</f>
        <v>209</v>
      </c>
    </row>
    <row r="228" spans="1:9" x14ac:dyDescent="0.25">
      <c r="A228" s="99"/>
      <c r="B228" s="144"/>
      <c r="C228" s="64" t="s">
        <v>231</v>
      </c>
      <c r="D228" s="137">
        <v>65</v>
      </c>
      <c r="E228" s="38" t="s">
        <v>2898</v>
      </c>
      <c r="F228" s="34">
        <f>IFERROR(_xlfn.XLOOKUP(E228,Index!$A:$A,Index!$B:$B),"")</f>
        <v>209</v>
      </c>
    </row>
    <row r="229" spans="1:9" x14ac:dyDescent="0.25">
      <c r="A229" s="99"/>
      <c r="B229" s="99"/>
      <c r="C229" s="36">
        <v>3</v>
      </c>
      <c r="D229" s="137">
        <v>80</v>
      </c>
      <c r="E229" s="38" t="s">
        <v>2903</v>
      </c>
      <c r="F229" s="34">
        <f>IFERROR(_xlfn.XLOOKUP(E229,Index!$A:$A,Index!$B:$B),"")</f>
        <v>209</v>
      </c>
    </row>
    <row r="230" spans="1:9" x14ac:dyDescent="0.25">
      <c r="A230" s="99"/>
      <c r="B230" s="99"/>
      <c r="C230" s="36">
        <v>4</v>
      </c>
      <c r="D230" s="137">
        <v>100</v>
      </c>
      <c r="E230" s="38" t="s">
        <v>2905</v>
      </c>
      <c r="F230" s="34">
        <f>IFERROR(_xlfn.XLOOKUP(E230,Index!$A:$A,Index!$B:$B),"")</f>
        <v>209</v>
      </c>
    </row>
    <row r="231" spans="1:9" x14ac:dyDescent="0.25">
      <c r="A231" s="99"/>
      <c r="B231" s="99"/>
      <c r="C231" s="36">
        <v>5</v>
      </c>
      <c r="D231" s="137">
        <v>125</v>
      </c>
      <c r="E231" s="38" t="s">
        <v>2911</v>
      </c>
      <c r="F231" s="34">
        <f>IFERROR(_xlfn.XLOOKUP(E231,Index!$A:$A,Index!$B:$B),"")</f>
        <v>250</v>
      </c>
    </row>
    <row r="232" spans="1:9" x14ac:dyDescent="0.25">
      <c r="A232" s="99"/>
      <c r="B232" s="99"/>
      <c r="C232" s="36">
        <v>6</v>
      </c>
      <c r="D232" s="137">
        <v>150</v>
      </c>
      <c r="E232" s="38" t="s">
        <v>2915</v>
      </c>
      <c r="F232" s="34">
        <f>IFERROR(_xlfn.XLOOKUP(E232,Index!$A:$A,Index!$B:$B),"")</f>
        <v>250</v>
      </c>
      <c r="G232" s="111"/>
      <c r="H232" s="19"/>
      <c r="I232" s="19"/>
    </row>
    <row r="233" spans="1:9" x14ac:dyDescent="0.25">
      <c r="A233" s="99"/>
      <c r="B233" s="99"/>
      <c r="C233" s="36">
        <v>8</v>
      </c>
      <c r="D233" s="137">
        <v>200</v>
      </c>
      <c r="E233" s="38" t="s">
        <v>2920</v>
      </c>
      <c r="F233" s="34">
        <f>IFERROR(_xlfn.XLOOKUP(E233,Index!$A:$A,Index!$B:$B),"")</f>
        <v>250</v>
      </c>
      <c r="G233" s="4"/>
      <c r="H233" s="19"/>
      <c r="I233" s="19"/>
    </row>
    <row r="234" spans="1:9" x14ac:dyDescent="0.25">
      <c r="A234" s="99"/>
      <c r="B234" s="99"/>
      <c r="C234" s="36">
        <v>10</v>
      </c>
      <c r="D234" s="137">
        <v>250</v>
      </c>
      <c r="E234" s="38" t="s">
        <v>2926</v>
      </c>
      <c r="F234" s="34">
        <f>IFERROR(_xlfn.XLOOKUP(E234,Index!$A:$A,Index!$B:$B),"")</f>
        <v>541</v>
      </c>
    </row>
    <row r="235" spans="1:9" x14ac:dyDescent="0.25">
      <c r="A235" s="99"/>
      <c r="B235" s="99"/>
      <c r="C235" s="36">
        <v>12</v>
      </c>
      <c r="D235" s="137">
        <v>300</v>
      </c>
      <c r="E235" s="38" t="s">
        <v>2930</v>
      </c>
      <c r="F235" s="34">
        <f>IFERROR(_xlfn.XLOOKUP(E235,Index!$A:$A,Index!$B:$B),"")</f>
        <v>541</v>
      </c>
    </row>
    <row r="236" spans="1:9" x14ac:dyDescent="0.25">
      <c r="A236" s="99"/>
      <c r="B236" s="236" t="s">
        <v>5576</v>
      </c>
      <c r="C236" s="64">
        <v>2</v>
      </c>
      <c r="D236" s="137">
        <v>50</v>
      </c>
      <c r="E236" s="38" t="s">
        <v>2937</v>
      </c>
      <c r="F236" s="34">
        <f>IFERROR(_xlfn.XLOOKUP(E236,Index!$A:$A,Index!$B:$B),"")</f>
        <v>20</v>
      </c>
    </row>
    <row r="237" spans="1:9" x14ac:dyDescent="0.25">
      <c r="A237" s="99"/>
      <c r="B237" s="144"/>
      <c r="C237" s="64" t="s">
        <v>231</v>
      </c>
      <c r="D237" s="137">
        <v>65</v>
      </c>
      <c r="E237" s="38" t="s">
        <v>2937</v>
      </c>
      <c r="F237" s="34">
        <f>IFERROR(_xlfn.XLOOKUP(E237,Index!$A:$A,Index!$B:$B),"")</f>
        <v>20</v>
      </c>
    </row>
    <row r="238" spans="1:9" x14ac:dyDescent="0.25">
      <c r="A238" s="99"/>
      <c r="B238" s="99"/>
      <c r="C238" s="36">
        <v>3</v>
      </c>
      <c r="D238" s="137">
        <v>80</v>
      </c>
      <c r="E238" s="38" t="s">
        <v>2940</v>
      </c>
      <c r="F238" s="34">
        <f>IFERROR(_xlfn.XLOOKUP(E238,Index!$A:$A,Index!$B:$B),"")</f>
        <v>20</v>
      </c>
    </row>
    <row r="239" spans="1:9" x14ac:dyDescent="0.25">
      <c r="A239" s="99"/>
      <c r="B239" s="99"/>
      <c r="C239" s="36">
        <v>4</v>
      </c>
      <c r="D239" s="137">
        <v>100</v>
      </c>
      <c r="E239" s="38" t="s">
        <v>2942</v>
      </c>
      <c r="F239" s="34">
        <f>IFERROR(_xlfn.XLOOKUP(E239,Index!$A:$A,Index!$B:$B),"")</f>
        <v>20</v>
      </c>
    </row>
    <row r="240" spans="1:9" x14ac:dyDescent="0.25">
      <c r="A240" s="99"/>
      <c r="B240" s="99"/>
      <c r="C240" s="36">
        <v>5</v>
      </c>
      <c r="D240" s="137">
        <v>125</v>
      </c>
      <c r="E240" s="38" t="s">
        <v>2945</v>
      </c>
      <c r="F240" s="34">
        <f>IFERROR(_xlfn.XLOOKUP(E240,Index!$A:$A,Index!$B:$B),"")</f>
        <v>20</v>
      </c>
    </row>
    <row r="241" spans="1:8" x14ac:dyDescent="0.25">
      <c r="A241" s="99"/>
      <c r="B241" s="99"/>
      <c r="C241" s="36">
        <v>6</v>
      </c>
      <c r="D241" s="137">
        <v>150</v>
      </c>
      <c r="E241" s="38" t="s">
        <v>2945</v>
      </c>
      <c r="F241" s="34">
        <f>IFERROR(_xlfn.XLOOKUP(E241,Index!$A:$A,Index!$B:$B),"")</f>
        <v>20</v>
      </c>
    </row>
    <row r="242" spans="1:8" x14ac:dyDescent="0.25">
      <c r="A242" s="99"/>
      <c r="B242" s="99"/>
      <c r="C242" s="36">
        <v>8</v>
      </c>
      <c r="D242" s="137">
        <v>200</v>
      </c>
      <c r="E242" s="38" t="s">
        <v>2950</v>
      </c>
      <c r="F242" s="34">
        <f>IFERROR(_xlfn.XLOOKUP(E242,Index!$A:$A,Index!$B:$B),"")</f>
        <v>20</v>
      </c>
    </row>
    <row r="243" spans="1:8" x14ac:dyDescent="0.25">
      <c r="A243" s="99"/>
      <c r="B243" s="99"/>
      <c r="C243" s="36">
        <v>10</v>
      </c>
      <c r="D243" s="137">
        <v>250</v>
      </c>
      <c r="E243" s="38" t="s">
        <v>2950</v>
      </c>
      <c r="F243" s="34">
        <f>IFERROR(_xlfn.XLOOKUP(E243,Index!$A:$A,Index!$B:$B),"")</f>
        <v>20</v>
      </c>
    </row>
    <row r="244" spans="1:8" x14ac:dyDescent="0.25">
      <c r="A244" s="121"/>
      <c r="B244" s="121"/>
      <c r="C244" s="36">
        <v>12</v>
      </c>
      <c r="D244" s="137">
        <v>300</v>
      </c>
      <c r="E244" s="38" t="s">
        <v>2950</v>
      </c>
      <c r="F244" s="34">
        <f>IFERROR(_xlfn.XLOOKUP(E244,Index!$A:$A,Index!$B:$B),"")</f>
        <v>20</v>
      </c>
    </row>
    <row r="245" spans="1:8" x14ac:dyDescent="0.25">
      <c r="A245" s="12"/>
      <c r="B245" s="12"/>
      <c r="C245" s="80"/>
      <c r="D245" s="142"/>
      <c r="E245" s="19"/>
      <c r="F245" s="84"/>
    </row>
    <row r="246" spans="1:8" ht="15.75" x14ac:dyDescent="0.25">
      <c r="A246" s="62" t="s">
        <v>2534</v>
      </c>
      <c r="B246" s="62" t="s">
        <v>174</v>
      </c>
      <c r="C246" s="14"/>
      <c r="D246" s="14"/>
      <c r="E246" s="14"/>
      <c r="F246" s="3"/>
      <c r="G246" s="8"/>
      <c r="H246" s="110"/>
    </row>
    <row r="247" spans="1:8" ht="15.75" x14ac:dyDescent="0.25">
      <c r="A247" s="48" t="s">
        <v>2520</v>
      </c>
      <c r="B247" s="62"/>
      <c r="C247" s="4"/>
      <c r="D247" s="4"/>
      <c r="E247" s="4"/>
      <c r="F247" s="4"/>
      <c r="G247" s="5"/>
      <c r="H247" s="110"/>
    </row>
    <row r="248" spans="1:8" ht="24" x14ac:dyDescent="0.25">
      <c r="A248" s="102" t="s">
        <v>35</v>
      </c>
      <c r="B248" s="140" t="s">
        <v>2487</v>
      </c>
      <c r="C248" s="143" t="s">
        <v>38</v>
      </c>
      <c r="D248" s="143"/>
      <c r="E248" s="23" t="s">
        <v>39</v>
      </c>
      <c r="F248" s="23"/>
      <c r="G248" s="42" t="s">
        <v>40</v>
      </c>
      <c r="H248" s="24" t="s">
        <v>41</v>
      </c>
    </row>
    <row r="249" spans="1:8" x14ac:dyDescent="0.25">
      <c r="A249" s="96"/>
      <c r="B249" s="96"/>
      <c r="C249" s="33" t="s">
        <v>44</v>
      </c>
      <c r="D249" s="33" t="s">
        <v>45</v>
      </c>
      <c r="E249" s="33" t="s">
        <v>46</v>
      </c>
      <c r="F249" s="39" t="s">
        <v>47</v>
      </c>
      <c r="G249" s="33"/>
      <c r="H249" s="41"/>
    </row>
    <row r="250" spans="1:8" x14ac:dyDescent="0.25">
      <c r="A250" s="60" t="s">
        <v>2535</v>
      </c>
      <c r="B250" s="60" t="s">
        <v>2522</v>
      </c>
      <c r="C250" s="64">
        <v>2</v>
      </c>
      <c r="D250" s="98">
        <v>50</v>
      </c>
      <c r="E250" s="35">
        <v>7</v>
      </c>
      <c r="F250" s="40">
        <v>3.2</v>
      </c>
      <c r="G250" s="38" t="s">
        <v>2536</v>
      </c>
      <c r="H250" s="34">
        <f>IFERROR(_xlfn.XLOOKUP(G250,Index!$A:$A,Index!$B:$B),"")</f>
        <v>3331</v>
      </c>
    </row>
    <row r="251" spans="1:8" x14ac:dyDescent="0.25">
      <c r="A251" s="99"/>
      <c r="B251" s="99"/>
      <c r="C251" s="125" t="s">
        <v>231</v>
      </c>
      <c r="D251" s="98">
        <v>65</v>
      </c>
      <c r="E251" s="35">
        <v>9</v>
      </c>
      <c r="F251" s="40">
        <v>4.0999999999999996</v>
      </c>
      <c r="G251" s="38" t="s">
        <v>2537</v>
      </c>
      <c r="H251" s="34">
        <f>IFERROR(_xlfn.XLOOKUP(G251,Index!$A:$A,Index!$B:$B),"")</f>
        <v>4308</v>
      </c>
    </row>
    <row r="252" spans="1:8" x14ac:dyDescent="0.25">
      <c r="A252" s="99"/>
      <c r="B252" s="99"/>
      <c r="C252" s="125">
        <v>3</v>
      </c>
      <c r="D252" s="98">
        <v>80</v>
      </c>
      <c r="E252" s="35">
        <v>12</v>
      </c>
      <c r="F252" s="40">
        <v>5.4</v>
      </c>
      <c r="G252" s="38" t="s">
        <v>2538</v>
      </c>
      <c r="H252" s="34">
        <f>IFERROR(_xlfn.XLOOKUP(G252,Index!$A:$A,Index!$B:$B),"")</f>
        <v>4308</v>
      </c>
    </row>
    <row r="253" spans="1:8" x14ac:dyDescent="0.25">
      <c r="A253" s="99"/>
      <c r="B253" s="99"/>
      <c r="C253" s="125">
        <v>4</v>
      </c>
      <c r="D253" s="98">
        <v>100</v>
      </c>
      <c r="E253" s="35">
        <v>17</v>
      </c>
      <c r="F253" s="40">
        <v>7.7</v>
      </c>
      <c r="G253" s="38" t="s">
        <v>2539</v>
      </c>
      <c r="H253" s="34">
        <f>IFERROR(_xlfn.XLOOKUP(G253,Index!$A:$A,Index!$B:$B),"")</f>
        <v>5519</v>
      </c>
    </row>
    <row r="254" spans="1:8" x14ac:dyDescent="0.25">
      <c r="A254" s="99"/>
      <c r="B254" s="99"/>
      <c r="C254" s="125">
        <v>5</v>
      </c>
      <c r="D254" s="98">
        <v>125</v>
      </c>
      <c r="E254" s="35">
        <v>27</v>
      </c>
      <c r="F254" s="40">
        <v>12.2</v>
      </c>
      <c r="G254" s="38" t="s">
        <v>2954</v>
      </c>
      <c r="H254" s="34">
        <f>IFERROR(_xlfn.XLOOKUP(G254,Index!$A:$A,Index!$B:$B),"")</f>
        <v>8007</v>
      </c>
    </row>
    <row r="255" spans="1:8" x14ac:dyDescent="0.25">
      <c r="A255" s="99"/>
      <c r="B255" s="99"/>
      <c r="C255" s="125">
        <v>6</v>
      </c>
      <c r="D255" s="98">
        <v>150</v>
      </c>
      <c r="E255" s="35">
        <v>43</v>
      </c>
      <c r="F255" s="40">
        <v>19.5</v>
      </c>
      <c r="G255" s="38" t="s">
        <v>2540</v>
      </c>
      <c r="H255" s="34">
        <f>IFERROR(_xlfn.XLOOKUP(G255,Index!$A:$A,Index!$B:$B),"")</f>
        <v>8792</v>
      </c>
    </row>
    <row r="256" spans="1:8" x14ac:dyDescent="0.25">
      <c r="A256" s="99"/>
      <c r="B256" s="99"/>
      <c r="C256" s="125">
        <v>8</v>
      </c>
      <c r="D256" s="98">
        <v>200</v>
      </c>
      <c r="E256" s="35">
        <v>58</v>
      </c>
      <c r="F256" s="40">
        <v>26.3</v>
      </c>
      <c r="G256" s="38" t="s">
        <v>2541</v>
      </c>
      <c r="H256" s="34">
        <f>IFERROR(_xlfn.XLOOKUP(G256,Index!$A:$A,Index!$B:$B),"")</f>
        <v>15763</v>
      </c>
    </row>
    <row r="257" spans="1:8" x14ac:dyDescent="0.25">
      <c r="A257" s="99"/>
      <c r="B257" s="99"/>
      <c r="C257" s="125">
        <v>10</v>
      </c>
      <c r="D257" s="98">
        <v>250</v>
      </c>
      <c r="E257" s="35">
        <v>100</v>
      </c>
      <c r="F257" s="40">
        <v>45.4</v>
      </c>
      <c r="G257" s="38" t="s">
        <v>2542</v>
      </c>
      <c r="H257" s="34">
        <f>IFERROR(_xlfn.XLOOKUP(G257,Index!$A:$A,Index!$B:$B),"")</f>
        <v>23777</v>
      </c>
    </row>
    <row r="258" spans="1:8" x14ac:dyDescent="0.25">
      <c r="A258" s="121"/>
      <c r="B258" s="121"/>
      <c r="C258" s="125">
        <v>12</v>
      </c>
      <c r="D258" s="98">
        <v>300</v>
      </c>
      <c r="E258" s="35">
        <v>155</v>
      </c>
      <c r="F258" s="40">
        <v>70.3</v>
      </c>
      <c r="G258" s="38" t="s">
        <v>2543</v>
      </c>
      <c r="H258" s="34">
        <f>IFERROR(_xlfn.XLOOKUP(G258,Index!$A:$A,Index!$B:$B),"")</f>
        <v>30910</v>
      </c>
    </row>
    <row r="260" spans="1:8" ht="15.75" x14ac:dyDescent="0.25">
      <c r="A260" s="62" t="s">
        <v>2534</v>
      </c>
      <c r="B260" s="62"/>
      <c r="C260" s="14"/>
      <c r="D260" s="14"/>
      <c r="E260" s="14"/>
      <c r="F260" s="3"/>
      <c r="G260" s="8"/>
      <c r="H260" s="110"/>
    </row>
    <row r="261" spans="1:8" ht="15.75" x14ac:dyDescent="0.25">
      <c r="A261" s="48" t="s">
        <v>102</v>
      </c>
      <c r="B261" s="11"/>
      <c r="C261" s="4"/>
      <c r="D261" s="4"/>
      <c r="E261" s="4"/>
      <c r="F261" s="4"/>
      <c r="G261" s="5"/>
      <c r="H261" s="110"/>
    </row>
    <row r="262" spans="1:8" ht="24" x14ac:dyDescent="0.25">
      <c r="A262" s="102" t="s">
        <v>35</v>
      </c>
      <c r="B262" s="140" t="s">
        <v>103</v>
      </c>
      <c r="C262" s="337" t="s">
        <v>38</v>
      </c>
      <c r="D262" s="337"/>
      <c r="E262" s="42" t="s">
        <v>40</v>
      </c>
      <c r="F262" s="24" t="s">
        <v>41</v>
      </c>
    </row>
    <row r="263" spans="1:8" x14ac:dyDescent="0.25">
      <c r="A263" s="96"/>
      <c r="B263" s="96"/>
      <c r="C263" s="33" t="s">
        <v>44</v>
      </c>
      <c r="D263" s="33" t="s">
        <v>45</v>
      </c>
      <c r="E263" s="104"/>
      <c r="F263" s="138"/>
    </row>
    <row r="264" spans="1:8" x14ac:dyDescent="0.25">
      <c r="A264" s="146" t="s">
        <v>2535</v>
      </c>
      <c r="B264" s="146" t="s">
        <v>2292</v>
      </c>
      <c r="C264" s="64">
        <v>2</v>
      </c>
      <c r="D264" s="137">
        <v>50</v>
      </c>
      <c r="E264" s="38" t="s">
        <v>2890</v>
      </c>
      <c r="F264" s="34">
        <f>IFERROR(_xlfn.XLOOKUP(E264,Index!$A:$A,Index!$B:$B),"")</f>
        <v>416</v>
      </c>
    </row>
    <row r="265" spans="1:8" x14ac:dyDescent="0.25">
      <c r="A265" s="99"/>
      <c r="B265" s="144"/>
      <c r="C265" s="64" t="s">
        <v>231</v>
      </c>
      <c r="D265" s="137">
        <v>65</v>
      </c>
      <c r="E265" s="38" t="s">
        <v>2895</v>
      </c>
      <c r="F265" s="34">
        <f>IFERROR(_xlfn.XLOOKUP(E265,Index!$A:$A,Index!$B:$B),"")</f>
        <v>664.5</v>
      </c>
    </row>
    <row r="266" spans="1:8" x14ac:dyDescent="0.25">
      <c r="A266" s="99"/>
      <c r="B266" s="99"/>
      <c r="C266" s="36">
        <v>3</v>
      </c>
      <c r="D266" s="137">
        <v>80</v>
      </c>
      <c r="E266" s="38" t="s">
        <v>2899</v>
      </c>
      <c r="F266" s="34">
        <f>IFERROR(_xlfn.XLOOKUP(E266,Index!$A:$A,Index!$B:$B),"")</f>
        <v>664.5</v>
      </c>
    </row>
    <row r="267" spans="1:8" x14ac:dyDescent="0.25">
      <c r="A267" s="99"/>
      <c r="B267" s="99"/>
      <c r="C267" s="36">
        <v>4</v>
      </c>
      <c r="D267" s="137">
        <v>100</v>
      </c>
      <c r="E267" s="38" t="s">
        <v>2904</v>
      </c>
      <c r="F267" s="34">
        <f>IFERROR(_xlfn.XLOOKUP(E267,Index!$A:$A,Index!$B:$B),"")</f>
        <v>747.5</v>
      </c>
    </row>
    <row r="268" spans="1:8" x14ac:dyDescent="0.25">
      <c r="A268" s="99"/>
      <c r="B268" s="99"/>
      <c r="C268" s="36">
        <v>5</v>
      </c>
      <c r="D268" s="137">
        <v>125</v>
      </c>
      <c r="E268" s="38" t="s">
        <v>2943</v>
      </c>
      <c r="F268" s="34">
        <f>IFERROR(_xlfn.XLOOKUP(E268,Index!$A:$A,Index!$B:$B),"")</f>
        <v>914</v>
      </c>
    </row>
    <row r="269" spans="1:8" x14ac:dyDescent="0.25">
      <c r="A269" s="99"/>
      <c r="B269" s="99"/>
      <c r="C269" s="36">
        <v>6</v>
      </c>
      <c r="D269" s="137">
        <v>150</v>
      </c>
      <c r="E269" s="38" t="s">
        <v>2946</v>
      </c>
      <c r="F269" s="34">
        <f>IFERROR(_xlfn.XLOOKUP(E269,Index!$A:$A,Index!$B:$B),"")</f>
        <v>914</v>
      </c>
    </row>
    <row r="270" spans="1:8" x14ac:dyDescent="0.25">
      <c r="A270" s="99"/>
      <c r="B270" s="99"/>
      <c r="C270" s="36">
        <v>8</v>
      </c>
      <c r="D270" s="137">
        <v>200</v>
      </c>
      <c r="E270" s="38" t="s">
        <v>2948</v>
      </c>
      <c r="F270" s="34">
        <f>IFERROR(_xlfn.XLOOKUP(E270,Index!$A:$A,Index!$B:$B),"")</f>
        <v>4982</v>
      </c>
    </row>
    <row r="271" spans="1:8" x14ac:dyDescent="0.25">
      <c r="A271" s="99"/>
      <c r="B271" s="99"/>
      <c r="C271" s="36">
        <v>10</v>
      </c>
      <c r="D271" s="137">
        <v>250</v>
      </c>
      <c r="E271" s="38" t="s">
        <v>2951</v>
      </c>
      <c r="F271" s="34">
        <f>IFERROR(_xlfn.XLOOKUP(E271,Index!$A:$A,Index!$B:$B),"")</f>
        <v>2012</v>
      </c>
    </row>
    <row r="272" spans="1:8" x14ac:dyDescent="0.25">
      <c r="A272" s="99"/>
      <c r="B272" s="99"/>
      <c r="C272" s="36">
        <v>12</v>
      </c>
      <c r="D272" s="137">
        <v>300</v>
      </c>
      <c r="E272" s="38" t="s">
        <v>2953</v>
      </c>
      <c r="F272" s="34">
        <f>IFERROR(_xlfn.XLOOKUP(E272,Index!$A:$A,Index!$B:$B),"")</f>
        <v>3322</v>
      </c>
    </row>
    <row r="273" spans="1:6" x14ac:dyDescent="0.25">
      <c r="A273" s="99"/>
      <c r="B273" s="236" t="s">
        <v>2294</v>
      </c>
      <c r="C273" s="64">
        <v>2</v>
      </c>
      <c r="D273" s="137">
        <v>50</v>
      </c>
      <c r="E273" s="38" t="s">
        <v>2892</v>
      </c>
      <c r="F273" s="34">
        <f>IFERROR(_xlfn.XLOOKUP(E273,Index!$A:$A,Index!$B:$B),"")</f>
        <v>250</v>
      </c>
    </row>
    <row r="274" spans="1:6" x14ac:dyDescent="0.25">
      <c r="A274" s="99"/>
      <c r="B274" s="144"/>
      <c r="C274" s="64" t="s">
        <v>231</v>
      </c>
      <c r="D274" s="137">
        <v>65</v>
      </c>
      <c r="E274" s="38" t="s">
        <v>2897</v>
      </c>
      <c r="F274" s="34">
        <f>IFERROR(_xlfn.XLOOKUP(E274,Index!$A:$A,Index!$B:$B),"")</f>
        <v>250</v>
      </c>
    </row>
    <row r="275" spans="1:6" x14ac:dyDescent="0.25">
      <c r="A275" s="99"/>
      <c r="B275" s="99"/>
      <c r="C275" s="36">
        <v>3</v>
      </c>
      <c r="D275" s="137">
        <v>80</v>
      </c>
      <c r="E275" s="38" t="s">
        <v>2901</v>
      </c>
      <c r="F275" s="34">
        <f>IFERROR(_xlfn.XLOOKUP(E275,Index!$A:$A,Index!$B:$B),"")</f>
        <v>250</v>
      </c>
    </row>
    <row r="276" spans="1:6" x14ac:dyDescent="0.25">
      <c r="A276" s="99"/>
      <c r="B276" s="99"/>
      <c r="C276" s="36">
        <v>4</v>
      </c>
      <c r="D276" s="137">
        <v>100</v>
      </c>
      <c r="E276" s="38" t="s">
        <v>2908</v>
      </c>
      <c r="F276" s="34">
        <f>IFERROR(_xlfn.XLOOKUP(E276,Index!$A:$A,Index!$B:$B),"")</f>
        <v>332.5</v>
      </c>
    </row>
    <row r="277" spans="1:6" x14ac:dyDescent="0.25">
      <c r="A277" s="99"/>
      <c r="B277" s="99"/>
      <c r="C277" s="36">
        <v>5</v>
      </c>
      <c r="D277" s="137">
        <v>125</v>
      </c>
      <c r="E277" s="38" t="s">
        <v>2944</v>
      </c>
      <c r="F277" s="34">
        <f>IFERROR(_xlfn.XLOOKUP(E277,Index!$A:$A,Index!$B:$B),"")</f>
        <v>83.25</v>
      </c>
    </row>
    <row r="278" spans="1:6" x14ac:dyDescent="0.25">
      <c r="A278" s="99"/>
      <c r="B278" s="99"/>
      <c r="C278" s="36">
        <v>6</v>
      </c>
      <c r="D278" s="137">
        <v>150</v>
      </c>
      <c r="E278" s="38" t="s">
        <v>2917</v>
      </c>
      <c r="F278" s="34">
        <f>IFERROR(_xlfn.XLOOKUP(E278,Index!$A:$A,Index!$B:$B),"")</f>
        <v>332.5</v>
      </c>
    </row>
    <row r="279" spans="1:6" x14ac:dyDescent="0.25">
      <c r="A279" s="99"/>
      <c r="B279" s="99"/>
      <c r="C279" s="36">
        <v>8</v>
      </c>
      <c r="D279" s="137">
        <v>200</v>
      </c>
      <c r="E279" s="38" t="s">
        <v>2921</v>
      </c>
      <c r="F279" s="34">
        <f>IFERROR(_xlfn.XLOOKUP(E279,Index!$A:$A,Index!$B:$B),"")</f>
        <v>498.5</v>
      </c>
    </row>
    <row r="280" spans="1:6" x14ac:dyDescent="0.25">
      <c r="A280" s="99"/>
      <c r="B280" s="99"/>
      <c r="C280" s="36">
        <v>10</v>
      </c>
      <c r="D280" s="137">
        <v>250</v>
      </c>
      <c r="E280" s="38" t="s">
        <v>2924</v>
      </c>
      <c r="F280" s="34">
        <f>IFERROR(_xlfn.XLOOKUP(E280,Index!$A:$A,Index!$B:$B),"")</f>
        <v>498.5</v>
      </c>
    </row>
    <row r="281" spans="1:6" x14ac:dyDescent="0.25">
      <c r="A281" s="99"/>
      <c r="B281" s="99"/>
      <c r="C281" s="36">
        <v>12</v>
      </c>
      <c r="D281" s="137">
        <v>300</v>
      </c>
      <c r="E281" s="38" t="s">
        <v>2928</v>
      </c>
      <c r="F281" s="34">
        <f>IFERROR(_xlfn.XLOOKUP(E281,Index!$A:$A,Index!$B:$B),"")</f>
        <v>914</v>
      </c>
    </row>
    <row r="282" spans="1:6" x14ac:dyDescent="0.25">
      <c r="A282" s="99"/>
      <c r="B282" s="236" t="s">
        <v>5577</v>
      </c>
      <c r="C282" s="64">
        <v>2</v>
      </c>
      <c r="D282" s="137">
        <v>50</v>
      </c>
      <c r="E282" s="38" t="s">
        <v>2936</v>
      </c>
      <c r="F282" s="34">
        <f>IFERROR(_xlfn.XLOOKUP(E282,Index!$A:$A,Index!$B:$B),"")</f>
        <v>83.25</v>
      </c>
    </row>
    <row r="283" spans="1:6" x14ac:dyDescent="0.25">
      <c r="A283" s="99"/>
      <c r="B283" s="144"/>
      <c r="C283" s="64" t="s">
        <v>231</v>
      </c>
      <c r="D283" s="137">
        <v>65</v>
      </c>
      <c r="E283" s="38" t="s">
        <v>2938</v>
      </c>
      <c r="F283" s="34">
        <f>IFERROR(_xlfn.XLOOKUP(E283,Index!$A:$A,Index!$B:$B),"")</f>
        <v>83.25</v>
      </c>
    </row>
    <row r="284" spans="1:6" x14ac:dyDescent="0.25">
      <c r="A284" s="99"/>
      <c r="B284" s="99"/>
      <c r="C284" s="36">
        <v>3</v>
      </c>
      <c r="D284" s="137">
        <v>80</v>
      </c>
      <c r="E284" s="38" t="s">
        <v>2939</v>
      </c>
      <c r="F284" s="34">
        <f>IFERROR(_xlfn.XLOOKUP(E284,Index!$A:$A,Index!$B:$B),"")</f>
        <v>83.25</v>
      </c>
    </row>
    <row r="285" spans="1:6" x14ac:dyDescent="0.25">
      <c r="A285" s="99"/>
      <c r="B285" s="99"/>
      <c r="C285" s="36">
        <v>4</v>
      </c>
      <c r="D285" s="137">
        <v>100</v>
      </c>
      <c r="E285" s="228" t="s">
        <v>2941</v>
      </c>
      <c r="F285" s="34">
        <f>IFERROR(_xlfn.XLOOKUP(E285,Index!$A:$A,Index!$B:$B),"")</f>
        <v>83.25</v>
      </c>
    </row>
    <row r="286" spans="1:6" x14ac:dyDescent="0.25">
      <c r="A286" s="99"/>
      <c r="B286" s="99"/>
      <c r="C286" s="36">
        <v>5</v>
      </c>
      <c r="D286" s="137">
        <v>125</v>
      </c>
      <c r="E286" s="38" t="s">
        <v>2906</v>
      </c>
      <c r="F286" s="34">
        <f>IFERROR(_xlfn.XLOOKUP(E286,Index!$A:$A,Index!$B:$B),"")</f>
        <v>83.25</v>
      </c>
    </row>
    <row r="287" spans="1:6" x14ac:dyDescent="0.25">
      <c r="A287" s="99"/>
      <c r="B287" s="99"/>
      <c r="C287" s="36">
        <v>6</v>
      </c>
      <c r="D287" s="137">
        <v>150</v>
      </c>
      <c r="E287" s="38" t="s">
        <v>2947</v>
      </c>
      <c r="F287" s="34">
        <f>IFERROR(_xlfn.XLOOKUP(E287,Index!$A:$A,Index!$B:$B),"")</f>
        <v>125</v>
      </c>
    </row>
    <row r="288" spans="1:6" x14ac:dyDescent="0.25">
      <c r="A288" s="99"/>
      <c r="B288" s="99"/>
      <c r="C288" s="36">
        <v>8</v>
      </c>
      <c r="D288" s="137">
        <v>200</v>
      </c>
      <c r="E288" s="38" t="s">
        <v>2949</v>
      </c>
      <c r="F288" s="34">
        <f>IFERROR(_xlfn.XLOOKUP(E288,Index!$A:$A,Index!$B:$B),"")</f>
        <v>125</v>
      </c>
    </row>
    <row r="289" spans="1:6" x14ac:dyDescent="0.25">
      <c r="A289" s="99"/>
      <c r="B289" s="99"/>
      <c r="C289" s="36">
        <v>10</v>
      </c>
      <c r="D289" s="137">
        <v>250</v>
      </c>
      <c r="E289" s="38" t="s">
        <v>2952</v>
      </c>
      <c r="F289" s="34">
        <f>IFERROR(_xlfn.XLOOKUP(E289,Index!$A:$A,Index!$B:$B),"")</f>
        <v>1107</v>
      </c>
    </row>
    <row r="290" spans="1:6" x14ac:dyDescent="0.25">
      <c r="A290" s="99"/>
      <c r="B290" s="99"/>
      <c r="C290" s="36">
        <v>12</v>
      </c>
      <c r="D290" s="137">
        <v>300</v>
      </c>
      <c r="E290" s="38" t="s">
        <v>2955</v>
      </c>
      <c r="F290" s="34">
        <f>IFERROR(_xlfn.XLOOKUP(E290,Index!$A:$A,Index!$B:$B),"")</f>
        <v>291.5</v>
      </c>
    </row>
    <row r="291" spans="1:6" x14ac:dyDescent="0.25">
      <c r="A291" s="99"/>
      <c r="B291" s="236" t="s">
        <v>5575</v>
      </c>
      <c r="C291" s="64">
        <v>2</v>
      </c>
      <c r="D291" s="137">
        <v>50</v>
      </c>
      <c r="E291" s="38" t="s">
        <v>2893</v>
      </c>
      <c r="F291" s="34">
        <f>IFERROR(_xlfn.XLOOKUP(E291,Index!$A:$A,Index!$B:$B),"")</f>
        <v>209</v>
      </c>
    </row>
    <row r="292" spans="1:6" x14ac:dyDescent="0.25">
      <c r="A292" s="99"/>
      <c r="B292" s="144"/>
      <c r="C292" s="64" t="s">
        <v>231</v>
      </c>
      <c r="D292" s="137">
        <v>65</v>
      </c>
      <c r="E292" s="38" t="s">
        <v>2898</v>
      </c>
      <c r="F292" s="34">
        <f>IFERROR(_xlfn.XLOOKUP(E292,Index!$A:$A,Index!$B:$B),"")</f>
        <v>209</v>
      </c>
    </row>
    <row r="293" spans="1:6" x14ac:dyDescent="0.25">
      <c r="A293" s="99"/>
      <c r="B293" s="99"/>
      <c r="C293" s="36">
        <v>3</v>
      </c>
      <c r="D293" s="137">
        <v>80</v>
      </c>
      <c r="E293" s="38" t="s">
        <v>2903</v>
      </c>
      <c r="F293" s="34">
        <f>IFERROR(_xlfn.XLOOKUP(E293,Index!$A:$A,Index!$B:$B),"")</f>
        <v>209</v>
      </c>
    </row>
    <row r="294" spans="1:6" x14ac:dyDescent="0.25">
      <c r="A294" s="99"/>
      <c r="B294" s="99"/>
      <c r="C294" s="36">
        <v>4</v>
      </c>
      <c r="D294" s="137">
        <v>100</v>
      </c>
      <c r="E294" s="38" t="s">
        <v>2905</v>
      </c>
      <c r="F294" s="34">
        <f>IFERROR(_xlfn.XLOOKUP(E294,Index!$A:$A,Index!$B:$B),"")</f>
        <v>209</v>
      </c>
    </row>
    <row r="295" spans="1:6" x14ac:dyDescent="0.25">
      <c r="A295" s="99"/>
      <c r="B295" s="99"/>
      <c r="C295" s="36">
        <v>5</v>
      </c>
      <c r="D295" s="137">
        <v>125</v>
      </c>
      <c r="E295" s="38" t="s">
        <v>2911</v>
      </c>
      <c r="F295" s="34">
        <f>IFERROR(_xlfn.XLOOKUP(E295,Index!$A:$A,Index!$B:$B),"")</f>
        <v>250</v>
      </c>
    </row>
    <row r="296" spans="1:6" x14ac:dyDescent="0.25">
      <c r="A296" s="99"/>
      <c r="B296" s="99"/>
      <c r="C296" s="36">
        <v>6</v>
      </c>
      <c r="D296" s="137">
        <v>150</v>
      </c>
      <c r="E296" s="38" t="s">
        <v>2915</v>
      </c>
      <c r="F296" s="34">
        <f>IFERROR(_xlfn.XLOOKUP(E296,Index!$A:$A,Index!$B:$B),"")</f>
        <v>250</v>
      </c>
    </row>
    <row r="297" spans="1:6" x14ac:dyDescent="0.25">
      <c r="A297" s="99"/>
      <c r="B297" s="99"/>
      <c r="C297" s="36">
        <v>8</v>
      </c>
      <c r="D297" s="137">
        <v>200</v>
      </c>
      <c r="E297" s="38" t="s">
        <v>2920</v>
      </c>
      <c r="F297" s="34">
        <f>IFERROR(_xlfn.XLOOKUP(E297,Index!$A:$A,Index!$B:$B),"")</f>
        <v>250</v>
      </c>
    </row>
    <row r="298" spans="1:6" x14ac:dyDescent="0.25">
      <c r="A298" s="99"/>
      <c r="B298" s="99"/>
      <c r="C298" s="36">
        <v>10</v>
      </c>
      <c r="D298" s="137">
        <v>250</v>
      </c>
      <c r="E298" s="38" t="s">
        <v>2926</v>
      </c>
      <c r="F298" s="34">
        <f>IFERROR(_xlfn.XLOOKUP(E298,Index!$A:$A,Index!$B:$B),"")</f>
        <v>541</v>
      </c>
    </row>
    <row r="299" spans="1:6" x14ac:dyDescent="0.25">
      <c r="A299" s="99"/>
      <c r="B299" s="99"/>
      <c r="C299" s="36">
        <v>12</v>
      </c>
      <c r="D299" s="137">
        <v>300</v>
      </c>
      <c r="E299" s="38" t="s">
        <v>2930</v>
      </c>
      <c r="F299" s="34">
        <f>IFERROR(_xlfn.XLOOKUP(E299,Index!$A:$A,Index!$B:$B),"")</f>
        <v>541</v>
      </c>
    </row>
    <row r="300" spans="1:6" x14ac:dyDescent="0.25">
      <c r="A300" s="99"/>
      <c r="B300" s="236" t="s">
        <v>5576</v>
      </c>
      <c r="C300" s="64">
        <v>2</v>
      </c>
      <c r="D300" s="137">
        <v>50</v>
      </c>
      <c r="E300" s="38" t="s">
        <v>2937</v>
      </c>
      <c r="F300" s="34">
        <f>IFERROR(_xlfn.XLOOKUP(E300,Index!$A:$A,Index!$B:$B),"")</f>
        <v>20</v>
      </c>
    </row>
    <row r="301" spans="1:6" x14ac:dyDescent="0.25">
      <c r="A301" s="99"/>
      <c r="B301" s="144"/>
      <c r="C301" s="64" t="s">
        <v>231</v>
      </c>
      <c r="D301" s="137">
        <v>65</v>
      </c>
      <c r="E301" s="38" t="s">
        <v>2937</v>
      </c>
      <c r="F301" s="34">
        <f>IFERROR(_xlfn.XLOOKUP(E301,Index!$A:$A,Index!$B:$B),"")</f>
        <v>20</v>
      </c>
    </row>
    <row r="302" spans="1:6" x14ac:dyDescent="0.25">
      <c r="A302" s="99"/>
      <c r="B302" s="99"/>
      <c r="C302" s="36">
        <v>3</v>
      </c>
      <c r="D302" s="137">
        <v>80</v>
      </c>
      <c r="E302" s="38" t="s">
        <v>2940</v>
      </c>
      <c r="F302" s="34">
        <f>IFERROR(_xlfn.XLOOKUP(E302,Index!$A:$A,Index!$B:$B),"")</f>
        <v>20</v>
      </c>
    </row>
    <row r="303" spans="1:6" x14ac:dyDescent="0.25">
      <c r="A303" s="99"/>
      <c r="B303" s="99"/>
      <c r="C303" s="36">
        <v>4</v>
      </c>
      <c r="D303" s="137">
        <v>100</v>
      </c>
      <c r="E303" s="38" t="s">
        <v>2942</v>
      </c>
      <c r="F303" s="34">
        <f>IFERROR(_xlfn.XLOOKUP(E303,Index!$A:$A,Index!$B:$B),"")</f>
        <v>20</v>
      </c>
    </row>
    <row r="304" spans="1:6" x14ac:dyDescent="0.25">
      <c r="A304" s="99"/>
      <c r="B304" s="99"/>
      <c r="C304" s="36">
        <v>5</v>
      </c>
      <c r="D304" s="137">
        <v>125</v>
      </c>
      <c r="E304" s="38" t="s">
        <v>2945</v>
      </c>
      <c r="F304" s="34">
        <f>IFERROR(_xlfn.XLOOKUP(E304,Index!$A:$A,Index!$B:$B),"")</f>
        <v>20</v>
      </c>
    </row>
    <row r="305" spans="1:8" x14ac:dyDescent="0.25">
      <c r="A305" s="99"/>
      <c r="B305" s="99"/>
      <c r="C305" s="36">
        <v>6</v>
      </c>
      <c r="D305" s="137">
        <v>150</v>
      </c>
      <c r="E305" s="38" t="s">
        <v>2945</v>
      </c>
      <c r="F305" s="34">
        <f>IFERROR(_xlfn.XLOOKUP(E305,Index!$A:$A,Index!$B:$B),"")</f>
        <v>20</v>
      </c>
    </row>
    <row r="306" spans="1:8" x14ac:dyDescent="0.25">
      <c r="A306" s="99"/>
      <c r="B306" s="99"/>
      <c r="C306" s="36">
        <v>8</v>
      </c>
      <c r="D306" s="137">
        <v>200</v>
      </c>
      <c r="E306" s="38" t="s">
        <v>2950</v>
      </c>
      <c r="F306" s="34">
        <f>IFERROR(_xlfn.XLOOKUP(E306,Index!$A:$A,Index!$B:$B),"")</f>
        <v>20</v>
      </c>
    </row>
    <row r="307" spans="1:8" x14ac:dyDescent="0.25">
      <c r="A307" s="99"/>
      <c r="B307" s="99"/>
      <c r="C307" s="36">
        <v>10</v>
      </c>
      <c r="D307" s="137">
        <v>250</v>
      </c>
      <c r="E307" s="38" t="s">
        <v>2950</v>
      </c>
      <c r="F307" s="34">
        <f>IFERROR(_xlfn.XLOOKUP(E307,Index!$A:$A,Index!$B:$B),"")</f>
        <v>20</v>
      </c>
    </row>
    <row r="308" spans="1:8" x14ac:dyDescent="0.25">
      <c r="A308" s="121"/>
      <c r="B308" s="121"/>
      <c r="C308" s="36">
        <v>12</v>
      </c>
      <c r="D308" s="137">
        <v>300</v>
      </c>
      <c r="E308" s="38" t="s">
        <v>2950</v>
      </c>
      <c r="F308" s="34">
        <f>IFERROR(_xlfn.XLOOKUP(E308,Index!$A:$A,Index!$B:$B),"")</f>
        <v>20</v>
      </c>
    </row>
    <row r="310" spans="1:8" ht="15.75" x14ac:dyDescent="0.25">
      <c r="A310" s="62" t="s">
        <v>2544</v>
      </c>
      <c r="B310" s="62" t="s">
        <v>650</v>
      </c>
      <c r="C310" s="14"/>
      <c r="D310" s="14"/>
      <c r="E310" s="14"/>
      <c r="F310" s="3"/>
      <c r="G310" s="8"/>
      <c r="H310" s="110"/>
    </row>
    <row r="311" spans="1:8" ht="15.75" x14ac:dyDescent="0.25">
      <c r="A311" s="48" t="s">
        <v>2508</v>
      </c>
      <c r="B311" s="62"/>
      <c r="C311" s="4"/>
      <c r="D311" s="4"/>
      <c r="E311" s="4"/>
      <c r="F311" s="4"/>
      <c r="G311" s="5"/>
      <c r="H311" s="110"/>
    </row>
    <row r="312" spans="1:8" ht="24" x14ac:dyDescent="0.25">
      <c r="A312" s="102" t="s">
        <v>35</v>
      </c>
      <c r="B312" s="335" t="s">
        <v>38</v>
      </c>
      <c r="C312" s="336"/>
      <c r="D312" s="335" t="s">
        <v>39</v>
      </c>
      <c r="E312" s="336"/>
      <c r="F312" s="42" t="s">
        <v>40</v>
      </c>
      <c r="G312" s="24" t="s">
        <v>41</v>
      </c>
    </row>
    <row r="313" spans="1:8" x14ac:dyDescent="0.25">
      <c r="A313" s="96"/>
      <c r="B313" s="33" t="s">
        <v>44</v>
      </c>
      <c r="C313" s="33" t="s">
        <v>45</v>
      </c>
      <c r="D313" s="33" t="s">
        <v>46</v>
      </c>
      <c r="E313" s="39" t="s">
        <v>47</v>
      </c>
      <c r="F313" s="33"/>
      <c r="G313" s="41"/>
    </row>
    <row r="314" spans="1:8" x14ac:dyDescent="0.25">
      <c r="A314" s="60" t="s">
        <v>2545</v>
      </c>
      <c r="B314" s="64">
        <v>2</v>
      </c>
      <c r="C314" s="98">
        <v>50</v>
      </c>
      <c r="D314" s="35">
        <v>7</v>
      </c>
      <c r="E314" s="40">
        <v>3.2</v>
      </c>
      <c r="F314" s="38" t="s">
        <v>2532</v>
      </c>
      <c r="G314" s="34">
        <f>IFERROR(_xlfn.XLOOKUP(F314,Index!$A:$A,Index!$B:$B),"")</f>
        <v>3203</v>
      </c>
    </row>
    <row r="315" spans="1:8" x14ac:dyDescent="0.25">
      <c r="A315" s="99"/>
      <c r="B315" s="125">
        <v>3</v>
      </c>
      <c r="C315" s="98">
        <v>80</v>
      </c>
      <c r="D315" s="35">
        <v>12</v>
      </c>
      <c r="E315" s="40">
        <v>5.4</v>
      </c>
      <c r="F315" s="38" t="s">
        <v>2533</v>
      </c>
      <c r="G315" s="34">
        <f>IFERROR(_xlfn.XLOOKUP(F315,Index!$A:$A,Index!$B:$B),"")</f>
        <v>3611</v>
      </c>
    </row>
    <row r="316" spans="1:8" x14ac:dyDescent="0.25">
      <c r="A316" s="99"/>
      <c r="B316" s="125">
        <v>4</v>
      </c>
      <c r="C316" s="98">
        <v>100</v>
      </c>
      <c r="D316" s="35">
        <v>19</v>
      </c>
      <c r="E316" s="40">
        <v>8.6</v>
      </c>
      <c r="F316" s="38" t="s">
        <v>2546</v>
      </c>
      <c r="G316" s="34">
        <f>IFERROR(_xlfn.XLOOKUP(F316,Index!$A:$A,Index!$B:$B),"")</f>
        <v>4634</v>
      </c>
    </row>
    <row r="317" spans="1:8" x14ac:dyDescent="0.25">
      <c r="A317" s="99"/>
      <c r="B317" s="125">
        <v>6</v>
      </c>
      <c r="C317" s="98">
        <v>150</v>
      </c>
      <c r="D317" s="35">
        <v>45</v>
      </c>
      <c r="E317" s="40">
        <v>20.399999999999999</v>
      </c>
      <c r="F317" s="38" t="s">
        <v>2547</v>
      </c>
      <c r="G317" s="34">
        <f>IFERROR(_xlfn.XLOOKUP(F317,Index!$A:$A,Index!$B:$B),"")</f>
        <v>8684</v>
      </c>
    </row>
    <row r="318" spans="1:8" x14ac:dyDescent="0.25">
      <c r="A318" s="99"/>
      <c r="B318" s="125">
        <v>8</v>
      </c>
      <c r="C318" s="98">
        <v>200</v>
      </c>
      <c r="D318" s="35">
        <v>88</v>
      </c>
      <c r="E318" s="40">
        <v>39.9</v>
      </c>
      <c r="F318" s="38" t="s">
        <v>2548</v>
      </c>
      <c r="G318" s="34">
        <f>IFERROR(_xlfn.XLOOKUP(F318,Index!$A:$A,Index!$B:$B),"")</f>
        <v>10701</v>
      </c>
    </row>
    <row r="319" spans="1:8" x14ac:dyDescent="0.25">
      <c r="A319" s="99"/>
      <c r="B319" s="125">
        <v>10</v>
      </c>
      <c r="C319" s="98">
        <v>250</v>
      </c>
      <c r="D319" s="35">
        <v>150</v>
      </c>
      <c r="E319" s="40">
        <v>68</v>
      </c>
      <c r="F319" s="38" t="s">
        <v>2549</v>
      </c>
      <c r="G319" s="34">
        <f>IFERROR(_xlfn.XLOOKUP(F319,Index!$A:$A,Index!$B:$B),"")</f>
        <v>27472</v>
      </c>
    </row>
    <row r="320" spans="1:8" x14ac:dyDescent="0.25">
      <c r="A320" s="121"/>
      <c r="B320" s="125">
        <v>12</v>
      </c>
      <c r="C320" s="98">
        <v>300</v>
      </c>
      <c r="D320" s="35"/>
      <c r="E320" s="40"/>
      <c r="F320" s="38" t="s">
        <v>2550</v>
      </c>
      <c r="G320" s="34">
        <f>IFERROR(_xlfn.XLOOKUP(F320,Index!$A:$A,Index!$B:$B),"")</f>
        <v>35713</v>
      </c>
    </row>
    <row r="322" spans="1:8" ht="15.75" x14ac:dyDescent="0.25">
      <c r="A322" s="62" t="s">
        <v>2544</v>
      </c>
      <c r="B322" s="62"/>
      <c r="C322" s="14"/>
      <c r="D322" s="14"/>
      <c r="E322" s="14"/>
      <c r="F322" s="3"/>
      <c r="G322" s="8"/>
      <c r="H322" s="110"/>
    </row>
    <row r="323" spans="1:8" ht="15.75" x14ac:dyDescent="0.25">
      <c r="A323" s="48" t="s">
        <v>102</v>
      </c>
      <c r="B323" s="11"/>
      <c r="C323" s="4"/>
      <c r="D323" s="4"/>
      <c r="E323" s="4"/>
      <c r="F323" s="4"/>
      <c r="G323" s="5"/>
      <c r="H323" s="110"/>
    </row>
    <row r="324" spans="1:8" ht="24" x14ac:dyDescent="0.25">
      <c r="A324" s="102" t="s">
        <v>35</v>
      </c>
      <c r="B324" s="140" t="s">
        <v>103</v>
      </c>
      <c r="C324" s="337" t="s">
        <v>38</v>
      </c>
      <c r="D324" s="337"/>
      <c r="E324" s="42" t="s">
        <v>40</v>
      </c>
      <c r="F324" s="24" t="s">
        <v>41</v>
      </c>
    </row>
    <row r="325" spans="1:8" x14ac:dyDescent="0.25">
      <c r="A325" s="96"/>
      <c r="B325" s="96"/>
      <c r="C325" s="33" t="s">
        <v>44</v>
      </c>
      <c r="D325" s="33" t="s">
        <v>45</v>
      </c>
      <c r="E325" s="104"/>
      <c r="F325" s="138"/>
    </row>
    <row r="326" spans="1:8" x14ac:dyDescent="0.25">
      <c r="A326" s="146" t="s">
        <v>2545</v>
      </c>
      <c r="B326" s="146" t="s">
        <v>2292</v>
      </c>
      <c r="C326" s="36">
        <v>2</v>
      </c>
      <c r="D326" s="137">
        <v>50</v>
      </c>
      <c r="E326" s="38" t="s">
        <v>2890</v>
      </c>
      <c r="F326" s="34">
        <f>IFERROR(_xlfn.XLOOKUP(E326,Index!$A:$A,Index!$B:$B),"")</f>
        <v>416</v>
      </c>
    </row>
    <row r="327" spans="1:8" x14ac:dyDescent="0.25">
      <c r="A327" s="99"/>
      <c r="B327" s="99"/>
      <c r="C327" s="36">
        <v>3</v>
      </c>
      <c r="D327" s="137">
        <v>80</v>
      </c>
      <c r="E327" s="38" t="s">
        <v>2899</v>
      </c>
      <c r="F327" s="34">
        <f>IFERROR(_xlfn.XLOOKUP(E327,Index!$A:$A,Index!$B:$B),"")</f>
        <v>664.5</v>
      </c>
    </row>
    <row r="328" spans="1:8" x14ac:dyDescent="0.25">
      <c r="A328" s="99"/>
      <c r="B328" s="99"/>
      <c r="C328" s="36">
        <v>4</v>
      </c>
      <c r="D328" s="137">
        <v>100</v>
      </c>
      <c r="E328" s="38" t="s">
        <v>2904</v>
      </c>
      <c r="F328" s="34">
        <f>IFERROR(_xlfn.XLOOKUP(E328,Index!$A:$A,Index!$B:$B),"")</f>
        <v>747.5</v>
      </c>
    </row>
    <row r="329" spans="1:8" x14ac:dyDescent="0.25">
      <c r="A329" s="99"/>
      <c r="B329" s="99"/>
      <c r="C329" s="36">
        <v>6</v>
      </c>
      <c r="D329" s="137">
        <v>150</v>
      </c>
      <c r="E329" s="38" t="s">
        <v>2914</v>
      </c>
      <c r="F329" s="34">
        <f>IFERROR(_xlfn.XLOOKUP(E329,Index!$A:$A,Index!$B:$B),"")</f>
        <v>914</v>
      </c>
    </row>
    <row r="330" spans="1:8" x14ac:dyDescent="0.25">
      <c r="A330" s="99"/>
      <c r="B330" s="99"/>
      <c r="C330" s="36">
        <v>8</v>
      </c>
      <c r="D330" s="137">
        <v>200</v>
      </c>
      <c r="E330" s="38" t="s">
        <v>2956</v>
      </c>
      <c r="F330" s="34">
        <f>IFERROR(_xlfn.XLOOKUP(E330,Index!$A:$A,Index!$B:$B),"")</f>
        <v>1329</v>
      </c>
    </row>
    <row r="331" spans="1:8" x14ac:dyDescent="0.25">
      <c r="A331" s="99"/>
      <c r="B331" s="99"/>
      <c r="C331" s="36">
        <v>10</v>
      </c>
      <c r="D331" s="137">
        <v>250</v>
      </c>
      <c r="E331" s="38" t="s">
        <v>2957</v>
      </c>
      <c r="F331" s="34">
        <f>IFERROR(_xlfn.XLOOKUP(E331,Index!$A:$A,Index!$B:$B),"")</f>
        <v>2012</v>
      </c>
    </row>
    <row r="332" spans="1:8" x14ac:dyDescent="0.25">
      <c r="A332" s="99"/>
      <c r="B332" s="99"/>
      <c r="C332" s="36">
        <v>12</v>
      </c>
      <c r="D332" s="137">
        <v>300</v>
      </c>
      <c r="E332" s="38" t="s">
        <v>2958</v>
      </c>
      <c r="F332" s="34">
        <f>IFERROR(_xlfn.XLOOKUP(E332,Index!$A:$A,Index!$B:$B),"")</f>
        <v>3322</v>
      </c>
    </row>
    <row r="333" spans="1:8" x14ac:dyDescent="0.25">
      <c r="A333" s="99"/>
      <c r="B333" s="236" t="s">
        <v>2294</v>
      </c>
      <c r="C333" s="36">
        <v>2</v>
      </c>
      <c r="D333" s="137">
        <v>50</v>
      </c>
      <c r="E333" s="38" t="s">
        <v>2892</v>
      </c>
      <c r="F333" s="34">
        <f>IFERROR(_xlfn.XLOOKUP(E333,Index!$A:$A,Index!$B:$B),"")</f>
        <v>250</v>
      </c>
    </row>
    <row r="334" spans="1:8" x14ac:dyDescent="0.25">
      <c r="A334" s="99"/>
      <c r="B334" s="99"/>
      <c r="C334" s="36">
        <v>3</v>
      </c>
      <c r="D334" s="137">
        <v>80</v>
      </c>
      <c r="E334" s="38" t="s">
        <v>2901</v>
      </c>
      <c r="F334" s="34">
        <f>IFERROR(_xlfn.XLOOKUP(E334,Index!$A:$A,Index!$B:$B),"")</f>
        <v>250</v>
      </c>
    </row>
    <row r="335" spans="1:8" x14ac:dyDescent="0.25">
      <c r="A335" s="99"/>
      <c r="B335" s="99"/>
      <c r="C335" s="36">
        <v>4</v>
      </c>
      <c r="D335" s="137">
        <v>100</v>
      </c>
      <c r="E335" s="38" t="s">
        <v>2908</v>
      </c>
      <c r="F335" s="34">
        <f>IFERROR(_xlfn.XLOOKUP(E335,Index!$A:$A,Index!$B:$B),"")</f>
        <v>332.5</v>
      </c>
    </row>
    <row r="336" spans="1:8" x14ac:dyDescent="0.25">
      <c r="A336" s="99"/>
      <c r="B336" s="99"/>
      <c r="C336" s="36">
        <v>6</v>
      </c>
      <c r="D336" s="137">
        <v>150</v>
      </c>
      <c r="E336" s="38" t="s">
        <v>2917</v>
      </c>
      <c r="F336" s="34">
        <f>IFERROR(_xlfn.XLOOKUP(E336,Index!$A:$A,Index!$B:$B),"")</f>
        <v>332.5</v>
      </c>
    </row>
    <row r="337" spans="1:6" x14ac:dyDescent="0.25">
      <c r="A337" s="99"/>
      <c r="B337" s="99"/>
      <c r="C337" s="36">
        <v>8</v>
      </c>
      <c r="D337" s="137">
        <v>200</v>
      </c>
      <c r="E337" s="38" t="s">
        <v>2921</v>
      </c>
      <c r="F337" s="34">
        <f>IFERROR(_xlfn.XLOOKUP(E337,Index!$A:$A,Index!$B:$B),"")</f>
        <v>498.5</v>
      </c>
    </row>
    <row r="338" spans="1:6" x14ac:dyDescent="0.25">
      <c r="A338" s="99"/>
      <c r="B338" s="99"/>
      <c r="C338" s="36">
        <v>10</v>
      </c>
      <c r="D338" s="137">
        <v>250</v>
      </c>
      <c r="E338" s="38" t="s">
        <v>2924</v>
      </c>
      <c r="F338" s="34">
        <f>IFERROR(_xlfn.XLOOKUP(E338,Index!$A:$A,Index!$B:$B),"")</f>
        <v>498.5</v>
      </c>
    </row>
    <row r="339" spans="1:6" x14ac:dyDescent="0.25">
      <c r="A339" s="99"/>
      <c r="B339" s="99"/>
      <c r="C339" s="36">
        <v>12</v>
      </c>
      <c r="D339" s="137">
        <v>300</v>
      </c>
      <c r="E339" s="38" t="s">
        <v>2928</v>
      </c>
      <c r="F339" s="34">
        <f>IFERROR(_xlfn.XLOOKUP(E339,Index!$A:$A,Index!$B:$B),"")</f>
        <v>914</v>
      </c>
    </row>
    <row r="340" spans="1:6" x14ac:dyDescent="0.25">
      <c r="A340" s="99"/>
      <c r="B340" s="236" t="s">
        <v>5574</v>
      </c>
      <c r="C340" s="36">
        <v>2</v>
      </c>
      <c r="D340" s="137">
        <v>50</v>
      </c>
      <c r="E340" s="38" t="s">
        <v>2891</v>
      </c>
      <c r="F340" s="34">
        <f>IFERROR(_xlfn.XLOOKUP(E340,Index!$A:$A,Index!$B:$B),"")</f>
        <v>83.25</v>
      </c>
    </row>
    <row r="341" spans="1:6" x14ac:dyDescent="0.25">
      <c r="A341" s="99"/>
      <c r="B341" s="99"/>
      <c r="C341" s="36">
        <v>3</v>
      </c>
      <c r="D341" s="137">
        <v>80</v>
      </c>
      <c r="E341" s="38" t="s">
        <v>2902</v>
      </c>
      <c r="F341" s="34">
        <f>IFERROR(_xlfn.XLOOKUP(E341,Index!$A:$A,Index!$B:$B),"")</f>
        <v>83.25</v>
      </c>
    </row>
    <row r="342" spans="1:6" x14ac:dyDescent="0.25">
      <c r="A342" s="99"/>
      <c r="B342" s="99"/>
      <c r="C342" s="36">
        <v>4</v>
      </c>
      <c r="D342" s="137">
        <v>100</v>
      </c>
      <c r="E342" s="38" t="s">
        <v>2906</v>
      </c>
      <c r="F342" s="34">
        <f>IFERROR(_xlfn.XLOOKUP(E342,Index!$A:$A,Index!$B:$B),"")</f>
        <v>83.25</v>
      </c>
    </row>
    <row r="343" spans="1:6" x14ac:dyDescent="0.25">
      <c r="A343" s="99"/>
      <c r="B343" s="99"/>
      <c r="C343" s="36">
        <v>6</v>
      </c>
      <c r="D343" s="137">
        <v>150</v>
      </c>
      <c r="E343" s="38" t="s">
        <v>2916</v>
      </c>
      <c r="F343" s="34">
        <f>IFERROR(_xlfn.XLOOKUP(E343,Index!$A:$A,Index!$B:$B),"")</f>
        <v>125</v>
      </c>
    </row>
    <row r="344" spans="1:6" x14ac:dyDescent="0.25">
      <c r="A344" s="99"/>
      <c r="B344" s="99"/>
      <c r="C344" s="36">
        <v>8</v>
      </c>
      <c r="D344" s="137">
        <v>200</v>
      </c>
      <c r="E344" s="38" t="s">
        <v>2919</v>
      </c>
      <c r="F344" s="34">
        <f>IFERROR(_xlfn.XLOOKUP(E344,Index!$A:$A,Index!$B:$B),"")</f>
        <v>125</v>
      </c>
    </row>
    <row r="345" spans="1:6" x14ac:dyDescent="0.25">
      <c r="A345" s="99"/>
      <c r="B345" s="99"/>
      <c r="C345" s="36">
        <v>10</v>
      </c>
      <c r="D345" s="137">
        <v>250</v>
      </c>
      <c r="E345" s="38" t="s">
        <v>2925</v>
      </c>
      <c r="F345" s="34">
        <f>IFERROR(_xlfn.XLOOKUP(E345,Index!$A:$A,Index!$B:$B),"")</f>
        <v>125</v>
      </c>
    </row>
    <row r="346" spans="1:6" x14ac:dyDescent="0.25">
      <c r="A346" s="99"/>
      <c r="B346" s="99"/>
      <c r="C346" s="36">
        <v>12</v>
      </c>
      <c r="D346" s="137">
        <v>300</v>
      </c>
      <c r="E346" s="38" t="s">
        <v>2929</v>
      </c>
      <c r="F346" s="34">
        <f>IFERROR(_xlfn.XLOOKUP(E346,Index!$A:$A,Index!$B:$B),"")</f>
        <v>291.5</v>
      </c>
    </row>
    <row r="347" spans="1:6" x14ac:dyDescent="0.25">
      <c r="A347" s="99"/>
      <c r="B347" s="236" t="s">
        <v>5575</v>
      </c>
      <c r="C347" s="36">
        <v>2</v>
      </c>
      <c r="D347" s="137">
        <v>50</v>
      </c>
      <c r="E347" s="38" t="s">
        <v>2893</v>
      </c>
      <c r="F347" s="34">
        <f>IFERROR(_xlfn.XLOOKUP(E347,Index!$A:$A,Index!$B:$B),"")</f>
        <v>209</v>
      </c>
    </row>
    <row r="348" spans="1:6" x14ac:dyDescent="0.25">
      <c r="A348" s="99"/>
      <c r="B348" s="99"/>
      <c r="C348" s="36">
        <v>3</v>
      </c>
      <c r="D348" s="137">
        <v>80</v>
      </c>
      <c r="E348" s="38" t="s">
        <v>2903</v>
      </c>
      <c r="F348" s="34">
        <f>IFERROR(_xlfn.XLOOKUP(E348,Index!$A:$A,Index!$B:$B),"")</f>
        <v>209</v>
      </c>
    </row>
    <row r="349" spans="1:6" x14ac:dyDescent="0.25">
      <c r="A349" s="99"/>
      <c r="B349" s="99"/>
      <c r="C349" s="36">
        <v>4</v>
      </c>
      <c r="D349" s="137">
        <v>100</v>
      </c>
      <c r="E349" s="38" t="s">
        <v>2905</v>
      </c>
      <c r="F349" s="34">
        <f>IFERROR(_xlfn.XLOOKUP(E349,Index!$A:$A,Index!$B:$B),"")</f>
        <v>209</v>
      </c>
    </row>
    <row r="350" spans="1:6" x14ac:dyDescent="0.25">
      <c r="A350" s="99"/>
      <c r="B350" s="99"/>
      <c r="C350" s="36">
        <v>6</v>
      </c>
      <c r="D350" s="137">
        <v>150</v>
      </c>
      <c r="E350" s="38" t="s">
        <v>2915</v>
      </c>
      <c r="F350" s="34">
        <f>IFERROR(_xlfn.XLOOKUP(E350,Index!$A:$A,Index!$B:$B),"")</f>
        <v>250</v>
      </c>
    </row>
    <row r="351" spans="1:6" x14ac:dyDescent="0.25">
      <c r="A351" s="99"/>
      <c r="B351" s="99"/>
      <c r="C351" s="36">
        <v>8</v>
      </c>
      <c r="D351" s="137">
        <v>200</v>
      </c>
      <c r="E351" s="38" t="s">
        <v>2920</v>
      </c>
      <c r="F351" s="34">
        <f>IFERROR(_xlfn.XLOOKUP(E351,Index!$A:$A,Index!$B:$B),"")</f>
        <v>250</v>
      </c>
    </row>
    <row r="352" spans="1:6" x14ac:dyDescent="0.25">
      <c r="A352" s="99"/>
      <c r="B352" s="99"/>
      <c r="C352" s="36">
        <v>10</v>
      </c>
      <c r="D352" s="137">
        <v>250</v>
      </c>
      <c r="E352" s="38" t="s">
        <v>2926</v>
      </c>
      <c r="F352" s="34">
        <f>IFERROR(_xlfn.XLOOKUP(E352,Index!$A:$A,Index!$B:$B),"")</f>
        <v>541</v>
      </c>
    </row>
    <row r="353" spans="1:8" x14ac:dyDescent="0.25">
      <c r="A353" s="99"/>
      <c r="B353" s="99"/>
      <c r="C353" s="36">
        <v>12</v>
      </c>
      <c r="D353" s="137">
        <v>300</v>
      </c>
      <c r="E353" s="38" t="s">
        <v>2930</v>
      </c>
      <c r="F353" s="34">
        <f>IFERROR(_xlfn.XLOOKUP(E353,Index!$A:$A,Index!$B:$B),"")</f>
        <v>541</v>
      </c>
    </row>
    <row r="354" spans="1:8" x14ac:dyDescent="0.25">
      <c r="A354" s="99"/>
      <c r="B354" s="236" t="s">
        <v>5576</v>
      </c>
      <c r="C354" s="36">
        <v>2</v>
      </c>
      <c r="D354" s="137">
        <v>50</v>
      </c>
      <c r="E354" s="38" t="s">
        <v>2894</v>
      </c>
      <c r="F354" s="34">
        <f>IFERROR(_xlfn.XLOOKUP(E354,Index!$A:$A,Index!$B:$B),"")</f>
        <v>25.5</v>
      </c>
    </row>
    <row r="355" spans="1:8" x14ac:dyDescent="0.25">
      <c r="A355" s="99"/>
      <c r="B355" s="99"/>
      <c r="C355" s="36">
        <v>3</v>
      </c>
      <c r="D355" s="137">
        <v>80</v>
      </c>
      <c r="E355" s="38" t="s">
        <v>2900</v>
      </c>
      <c r="F355" s="34">
        <f>IFERROR(_xlfn.XLOOKUP(E355,Index!$A:$A,Index!$B:$B),"")</f>
        <v>20</v>
      </c>
    </row>
    <row r="356" spans="1:8" x14ac:dyDescent="0.25">
      <c r="A356" s="99"/>
      <c r="B356" s="99"/>
      <c r="C356" s="36">
        <v>4</v>
      </c>
      <c r="D356" s="137">
        <v>100</v>
      </c>
      <c r="E356" s="38" t="s">
        <v>2907</v>
      </c>
      <c r="F356" s="34">
        <f>IFERROR(_xlfn.XLOOKUP(E356,Index!$A:$A,Index!$B:$B),"")</f>
        <v>20</v>
      </c>
    </row>
    <row r="357" spans="1:8" x14ac:dyDescent="0.25">
      <c r="A357" s="99"/>
      <c r="B357" s="99"/>
      <c r="C357" s="36">
        <v>6</v>
      </c>
      <c r="D357" s="137">
        <v>150</v>
      </c>
      <c r="E357" s="38" t="s">
        <v>2913</v>
      </c>
      <c r="F357" s="34">
        <f>IFERROR(_xlfn.XLOOKUP(E357,Index!$A:$A,Index!$B:$B),"")</f>
        <v>20</v>
      </c>
    </row>
    <row r="358" spans="1:8" x14ac:dyDescent="0.25">
      <c r="A358" s="99"/>
      <c r="B358" s="99"/>
      <c r="C358" s="36">
        <v>8</v>
      </c>
      <c r="D358" s="137">
        <v>200</v>
      </c>
      <c r="E358" s="38" t="s">
        <v>2922</v>
      </c>
      <c r="F358" s="34">
        <f>IFERROR(_xlfn.XLOOKUP(E358,Index!$A:$A,Index!$B:$B),"")</f>
        <v>20</v>
      </c>
    </row>
    <row r="359" spans="1:8" x14ac:dyDescent="0.25">
      <c r="A359" s="99"/>
      <c r="B359" s="99"/>
      <c r="C359" s="36">
        <v>10</v>
      </c>
      <c r="D359" s="137">
        <v>250</v>
      </c>
      <c r="E359" s="38" t="s">
        <v>2922</v>
      </c>
      <c r="F359" s="34">
        <f>IFERROR(_xlfn.XLOOKUP(E359,Index!$A:$A,Index!$B:$B),"")</f>
        <v>20</v>
      </c>
    </row>
    <row r="360" spans="1:8" x14ac:dyDescent="0.25">
      <c r="A360" s="121"/>
      <c r="B360" s="121"/>
      <c r="C360" s="36">
        <v>12</v>
      </c>
      <c r="D360" s="137">
        <v>300</v>
      </c>
      <c r="E360" s="38" t="s">
        <v>2922</v>
      </c>
      <c r="F360" s="34">
        <f>IFERROR(_xlfn.XLOOKUP(E360,Index!$A:$A,Index!$B:$B),"")</f>
        <v>20</v>
      </c>
    </row>
    <row r="362" spans="1:8" ht="15.75" x14ac:dyDescent="0.25">
      <c r="A362" s="62" t="s">
        <v>2551</v>
      </c>
      <c r="B362" s="62" t="s">
        <v>650</v>
      </c>
      <c r="C362" s="14"/>
      <c r="D362" s="14"/>
      <c r="E362" s="14"/>
      <c r="F362" s="3"/>
      <c r="G362" s="8"/>
      <c r="H362" s="110"/>
    </row>
    <row r="363" spans="1:8" ht="15.75" x14ac:dyDescent="0.25">
      <c r="A363" s="48" t="s">
        <v>2520</v>
      </c>
      <c r="B363" s="62"/>
      <c r="C363" s="4"/>
      <c r="D363" s="4"/>
      <c r="E363" s="4"/>
      <c r="F363" s="4"/>
      <c r="G363" s="5"/>
      <c r="H363" s="110"/>
    </row>
    <row r="364" spans="1:8" ht="24" x14ac:dyDescent="0.25">
      <c r="A364" s="102" t="s">
        <v>35</v>
      </c>
      <c r="B364" s="335" t="s">
        <v>38</v>
      </c>
      <c r="C364" s="336"/>
      <c r="D364" s="335" t="s">
        <v>39</v>
      </c>
      <c r="E364" s="336"/>
      <c r="F364" s="42" t="s">
        <v>40</v>
      </c>
      <c r="G364" s="24" t="s">
        <v>41</v>
      </c>
    </row>
    <row r="365" spans="1:8" x14ac:dyDescent="0.25">
      <c r="A365" s="96"/>
      <c r="B365" s="33" t="s">
        <v>44</v>
      </c>
      <c r="C365" s="33" t="s">
        <v>45</v>
      </c>
      <c r="D365" s="33" t="s">
        <v>46</v>
      </c>
      <c r="E365" s="39" t="s">
        <v>47</v>
      </c>
      <c r="F365" s="33"/>
      <c r="G365" s="41"/>
    </row>
    <row r="366" spans="1:8" x14ac:dyDescent="0.25">
      <c r="A366" s="60" t="s">
        <v>2552</v>
      </c>
      <c r="B366" s="64">
        <v>2</v>
      </c>
      <c r="C366" s="98">
        <v>50</v>
      </c>
      <c r="D366" s="35">
        <v>7</v>
      </c>
      <c r="E366" s="40">
        <v>3.2</v>
      </c>
      <c r="F366" s="38" t="s">
        <v>2536</v>
      </c>
      <c r="G366" s="34">
        <f>IFERROR(_xlfn.XLOOKUP(F366,Index!$A:$A,Index!$B:$B),"")</f>
        <v>3331</v>
      </c>
    </row>
    <row r="367" spans="1:8" x14ac:dyDescent="0.25">
      <c r="A367" s="99"/>
      <c r="B367" s="125" t="s">
        <v>231</v>
      </c>
      <c r="C367" s="98">
        <v>65</v>
      </c>
      <c r="D367" s="35">
        <v>9</v>
      </c>
      <c r="E367" s="40">
        <v>4.0999999999999996</v>
      </c>
      <c r="F367" s="38" t="s">
        <v>2537</v>
      </c>
      <c r="G367" s="34">
        <f>IFERROR(_xlfn.XLOOKUP(F367,Index!$A:$A,Index!$B:$B),"")</f>
        <v>4308</v>
      </c>
    </row>
    <row r="368" spans="1:8" x14ac:dyDescent="0.25">
      <c r="A368" s="99"/>
      <c r="B368" s="125">
        <v>3</v>
      </c>
      <c r="C368" s="98">
        <v>80</v>
      </c>
      <c r="D368" s="35">
        <v>12</v>
      </c>
      <c r="E368" s="40">
        <v>5.4</v>
      </c>
      <c r="F368" s="38" t="s">
        <v>2538</v>
      </c>
      <c r="G368" s="34">
        <f>IFERROR(_xlfn.XLOOKUP(F368,Index!$A:$A,Index!$B:$B),"")</f>
        <v>4308</v>
      </c>
    </row>
    <row r="369" spans="1:8" x14ac:dyDescent="0.25">
      <c r="A369" s="99"/>
      <c r="B369" s="125">
        <v>4</v>
      </c>
      <c r="C369" s="98">
        <v>100</v>
      </c>
      <c r="D369" s="35">
        <v>19</v>
      </c>
      <c r="E369" s="40">
        <v>8.6</v>
      </c>
      <c r="F369" s="38" t="s">
        <v>2553</v>
      </c>
      <c r="G369" s="34">
        <f>IFERROR(_xlfn.XLOOKUP(F369,Index!$A:$A,Index!$B:$B),"")</f>
        <v>5536</v>
      </c>
    </row>
    <row r="370" spans="1:8" x14ac:dyDescent="0.25">
      <c r="A370" s="99"/>
      <c r="B370" s="125">
        <v>6</v>
      </c>
      <c r="C370" s="98">
        <v>150</v>
      </c>
      <c r="D370" s="35">
        <v>45</v>
      </c>
      <c r="E370" s="40">
        <v>20.399999999999999</v>
      </c>
      <c r="F370" s="38" t="s">
        <v>2554</v>
      </c>
      <c r="G370" s="34">
        <f>IFERROR(_xlfn.XLOOKUP(F370,Index!$A:$A,Index!$B:$B),"")</f>
        <v>8077</v>
      </c>
    </row>
    <row r="371" spans="1:8" x14ac:dyDescent="0.25">
      <c r="A371" s="99"/>
      <c r="B371" s="125">
        <v>8</v>
      </c>
      <c r="C371" s="98">
        <v>200</v>
      </c>
      <c r="D371" s="35">
        <v>88</v>
      </c>
      <c r="E371" s="40">
        <v>39.9</v>
      </c>
      <c r="F371" s="38" t="s">
        <v>2555</v>
      </c>
      <c r="G371" s="34">
        <f>IFERROR(_xlfn.XLOOKUP(F371,Index!$A:$A,Index!$B:$B),"")</f>
        <v>14531</v>
      </c>
    </row>
    <row r="372" spans="1:8" x14ac:dyDescent="0.25">
      <c r="A372" s="99"/>
      <c r="B372" s="125">
        <v>10</v>
      </c>
      <c r="C372" s="98">
        <v>250</v>
      </c>
      <c r="D372" s="35">
        <v>150</v>
      </c>
      <c r="E372" s="40">
        <v>68</v>
      </c>
      <c r="F372" s="38" t="s">
        <v>2960</v>
      </c>
      <c r="G372" s="34">
        <f>IFERROR(_xlfn.XLOOKUP(F372,Index!$A:$A,Index!$B:$B),"")</f>
        <v>38395</v>
      </c>
    </row>
    <row r="373" spans="1:8" x14ac:dyDescent="0.25">
      <c r="A373" s="121"/>
      <c r="B373" s="125">
        <v>12</v>
      </c>
      <c r="C373" s="98">
        <v>300</v>
      </c>
      <c r="D373" s="35">
        <v>236</v>
      </c>
      <c r="E373" s="40">
        <v>107</v>
      </c>
      <c r="F373" s="38" t="s">
        <v>2556</v>
      </c>
      <c r="G373" s="34">
        <f>IFERROR(_xlfn.XLOOKUP(F373,Index!$A:$A,Index!$B:$B),"")</f>
        <v>26882</v>
      </c>
    </row>
    <row r="375" spans="1:8" ht="15.75" x14ac:dyDescent="0.25">
      <c r="A375" s="62" t="s">
        <v>2551</v>
      </c>
      <c r="B375" s="62"/>
      <c r="C375" s="14"/>
      <c r="D375" s="14"/>
      <c r="E375" s="14"/>
      <c r="F375" s="3"/>
      <c r="G375" s="8"/>
      <c r="H375" s="110"/>
    </row>
    <row r="376" spans="1:8" ht="15.75" x14ac:dyDescent="0.25">
      <c r="A376" s="48" t="s">
        <v>102</v>
      </c>
      <c r="B376" s="11"/>
      <c r="C376" s="4"/>
      <c r="D376" s="4"/>
      <c r="E376" s="4"/>
      <c r="F376" s="4"/>
      <c r="G376" s="5"/>
      <c r="H376" s="110"/>
    </row>
    <row r="377" spans="1:8" ht="24" x14ac:dyDescent="0.25">
      <c r="A377" s="102" t="s">
        <v>35</v>
      </c>
      <c r="B377" s="140" t="s">
        <v>103</v>
      </c>
      <c r="C377" s="335" t="s">
        <v>38</v>
      </c>
      <c r="D377" s="336"/>
      <c r="E377" s="42" t="s">
        <v>40</v>
      </c>
      <c r="F377" s="24" t="s">
        <v>41</v>
      </c>
    </row>
    <row r="378" spans="1:8" x14ac:dyDescent="0.25">
      <c r="A378" s="96"/>
      <c r="B378" s="96"/>
      <c r="C378" s="33" t="s">
        <v>44</v>
      </c>
      <c r="D378" s="33" t="s">
        <v>45</v>
      </c>
      <c r="E378" s="104"/>
      <c r="F378" s="138"/>
    </row>
    <row r="379" spans="1:8" x14ac:dyDescent="0.25">
      <c r="A379" s="146" t="s">
        <v>2552</v>
      </c>
      <c r="B379" s="146" t="s">
        <v>2292</v>
      </c>
      <c r="C379" s="64">
        <v>2</v>
      </c>
      <c r="D379" s="137">
        <v>50</v>
      </c>
      <c r="E379" s="38" t="s">
        <v>2890</v>
      </c>
      <c r="F379" s="34">
        <f>IFERROR(_xlfn.XLOOKUP(E379,Index!$A:$A,Index!$B:$B),"")</f>
        <v>416</v>
      </c>
    </row>
    <row r="380" spans="1:8" x14ac:dyDescent="0.25">
      <c r="A380" s="99"/>
      <c r="B380" s="144"/>
      <c r="C380" s="64" t="s">
        <v>231</v>
      </c>
      <c r="D380" s="137">
        <v>65</v>
      </c>
      <c r="E380" s="38" t="s">
        <v>2895</v>
      </c>
      <c r="F380" s="34">
        <f>IFERROR(_xlfn.XLOOKUP(E380,Index!$A:$A,Index!$B:$B),"")</f>
        <v>664.5</v>
      </c>
    </row>
    <row r="381" spans="1:8" x14ac:dyDescent="0.25">
      <c r="A381" s="99"/>
      <c r="B381" s="99"/>
      <c r="C381" s="36">
        <v>3</v>
      </c>
      <c r="D381" s="137">
        <v>80</v>
      </c>
      <c r="E381" s="38" t="s">
        <v>2899</v>
      </c>
      <c r="F381" s="34">
        <f>IFERROR(_xlfn.XLOOKUP(E381,Index!$A:$A,Index!$B:$B),"")</f>
        <v>664.5</v>
      </c>
    </row>
    <row r="382" spans="1:8" x14ac:dyDescent="0.25">
      <c r="A382" s="99"/>
      <c r="B382" s="99"/>
      <c r="C382" s="36">
        <v>4</v>
      </c>
      <c r="D382" s="137">
        <v>100</v>
      </c>
      <c r="E382" s="38" t="s">
        <v>2904</v>
      </c>
      <c r="F382" s="34">
        <f>IFERROR(_xlfn.XLOOKUP(E382,Index!$A:$A,Index!$B:$B),"")</f>
        <v>747.5</v>
      </c>
    </row>
    <row r="383" spans="1:8" x14ac:dyDescent="0.25">
      <c r="A383" s="99"/>
      <c r="B383" s="99"/>
      <c r="C383" s="36">
        <v>5</v>
      </c>
      <c r="D383" s="137">
        <v>125</v>
      </c>
      <c r="E383" s="38" t="s">
        <v>5542</v>
      </c>
      <c r="F383" s="34" t="str">
        <f>IFERROR(_xlfn.XLOOKUP(E383,Index!$A:$A,Index!$B:$B),"")</f>
        <v/>
      </c>
    </row>
    <row r="384" spans="1:8" x14ac:dyDescent="0.25">
      <c r="A384" s="99"/>
      <c r="B384" s="99"/>
      <c r="C384" s="36">
        <v>6</v>
      </c>
      <c r="D384" s="137">
        <v>150</v>
      </c>
      <c r="E384" s="38" t="s">
        <v>2946</v>
      </c>
      <c r="F384" s="34">
        <f>IFERROR(_xlfn.XLOOKUP(E384,Index!$A:$A,Index!$B:$B),"")</f>
        <v>914</v>
      </c>
    </row>
    <row r="385" spans="1:6" x14ac:dyDescent="0.25">
      <c r="A385" s="99"/>
      <c r="B385" s="99"/>
      <c r="C385" s="36">
        <v>8</v>
      </c>
      <c r="D385" s="137">
        <v>200</v>
      </c>
      <c r="E385" s="38" t="s">
        <v>2959</v>
      </c>
      <c r="F385" s="34">
        <f>IFERROR(_xlfn.XLOOKUP(E385,Index!$A:$A,Index!$B:$B),"")</f>
        <v>1329</v>
      </c>
    </row>
    <row r="386" spans="1:6" x14ac:dyDescent="0.25">
      <c r="A386" s="99"/>
      <c r="B386" s="99"/>
      <c r="C386" s="36">
        <v>10</v>
      </c>
      <c r="D386" s="137">
        <v>250</v>
      </c>
      <c r="E386" s="38" t="s">
        <v>2961</v>
      </c>
      <c r="F386" s="34">
        <f>IFERROR(_xlfn.XLOOKUP(E386,Index!$A:$A,Index!$B:$B),"")</f>
        <v>2012</v>
      </c>
    </row>
    <row r="387" spans="1:6" x14ac:dyDescent="0.25">
      <c r="A387" s="99"/>
      <c r="B387" s="99"/>
      <c r="C387" s="36">
        <v>12</v>
      </c>
      <c r="D387" s="137">
        <v>300</v>
      </c>
      <c r="E387" s="38" t="s">
        <v>2962</v>
      </c>
      <c r="F387" s="34">
        <f>IFERROR(_xlfn.XLOOKUP(E387,Index!$A:$A,Index!$B:$B),"")</f>
        <v>3322</v>
      </c>
    </row>
    <row r="388" spans="1:6" x14ac:dyDescent="0.25">
      <c r="A388" s="99"/>
      <c r="B388" s="236" t="s">
        <v>2294</v>
      </c>
      <c r="C388" s="64">
        <v>2</v>
      </c>
      <c r="D388" s="137">
        <v>50</v>
      </c>
      <c r="E388" s="38" t="s">
        <v>2892</v>
      </c>
      <c r="F388" s="34">
        <f>IFERROR(_xlfn.XLOOKUP(E388,Index!$A:$A,Index!$B:$B),"")</f>
        <v>250</v>
      </c>
    </row>
    <row r="389" spans="1:6" x14ac:dyDescent="0.25">
      <c r="A389" s="99"/>
      <c r="B389" s="144"/>
      <c r="C389" s="64" t="s">
        <v>231</v>
      </c>
      <c r="D389" s="137">
        <v>65</v>
      </c>
      <c r="E389" s="38" t="s">
        <v>2897</v>
      </c>
      <c r="F389" s="34">
        <f>IFERROR(_xlfn.XLOOKUP(E389,Index!$A:$A,Index!$B:$B),"")</f>
        <v>250</v>
      </c>
    </row>
    <row r="390" spans="1:6" x14ac:dyDescent="0.25">
      <c r="A390" s="99"/>
      <c r="B390" s="99"/>
      <c r="C390" s="36">
        <v>3</v>
      </c>
      <c r="D390" s="137">
        <v>80</v>
      </c>
      <c r="E390" s="38" t="s">
        <v>2901</v>
      </c>
      <c r="F390" s="34">
        <f>IFERROR(_xlfn.XLOOKUP(E390,Index!$A:$A,Index!$B:$B),"")</f>
        <v>250</v>
      </c>
    </row>
    <row r="391" spans="1:6" x14ac:dyDescent="0.25">
      <c r="A391" s="99"/>
      <c r="B391" s="99"/>
      <c r="C391" s="36">
        <v>4</v>
      </c>
      <c r="D391" s="137">
        <v>100</v>
      </c>
      <c r="E391" s="38" t="s">
        <v>2908</v>
      </c>
      <c r="F391" s="34">
        <f>IFERROR(_xlfn.XLOOKUP(E391,Index!$A:$A,Index!$B:$B),"")</f>
        <v>332.5</v>
      </c>
    </row>
    <row r="392" spans="1:6" x14ac:dyDescent="0.25">
      <c r="A392" s="99"/>
      <c r="B392" s="99"/>
      <c r="C392" s="36">
        <v>5</v>
      </c>
      <c r="D392" s="137">
        <v>125</v>
      </c>
      <c r="E392" s="38" t="s">
        <v>5542</v>
      </c>
      <c r="F392" s="34" t="str">
        <f>IFERROR(_xlfn.XLOOKUP(E392,Index!$A:$A,Index!$B:$B),"")</f>
        <v/>
      </c>
    </row>
    <row r="393" spans="1:6" x14ac:dyDescent="0.25">
      <c r="A393" s="99"/>
      <c r="B393" s="99"/>
      <c r="C393" s="36">
        <v>6</v>
      </c>
      <c r="D393" s="137">
        <v>150</v>
      </c>
      <c r="E393" s="38" t="s">
        <v>2917</v>
      </c>
      <c r="F393" s="34">
        <f>IFERROR(_xlfn.XLOOKUP(E393,Index!$A:$A,Index!$B:$B),"")</f>
        <v>332.5</v>
      </c>
    </row>
    <row r="394" spans="1:6" x14ac:dyDescent="0.25">
      <c r="A394" s="99"/>
      <c r="B394" s="99"/>
      <c r="C394" s="36">
        <v>8</v>
      </c>
      <c r="D394" s="137">
        <v>200</v>
      </c>
      <c r="E394" s="38" t="s">
        <v>2921</v>
      </c>
      <c r="F394" s="34">
        <f>IFERROR(_xlfn.XLOOKUP(E394,Index!$A:$A,Index!$B:$B),"")</f>
        <v>498.5</v>
      </c>
    </row>
    <row r="395" spans="1:6" x14ac:dyDescent="0.25">
      <c r="A395" s="99"/>
      <c r="B395" s="99"/>
      <c r="C395" s="36">
        <v>10</v>
      </c>
      <c r="D395" s="137">
        <v>250</v>
      </c>
      <c r="E395" s="38" t="s">
        <v>2924</v>
      </c>
      <c r="F395" s="34">
        <f>IFERROR(_xlfn.XLOOKUP(E395,Index!$A:$A,Index!$B:$B),"")</f>
        <v>498.5</v>
      </c>
    </row>
    <row r="396" spans="1:6" x14ac:dyDescent="0.25">
      <c r="A396" s="99"/>
      <c r="B396" s="99"/>
      <c r="C396" s="36">
        <v>12</v>
      </c>
      <c r="D396" s="137">
        <v>300</v>
      </c>
      <c r="E396" s="38" t="s">
        <v>2928</v>
      </c>
      <c r="F396" s="34">
        <f>IFERROR(_xlfn.XLOOKUP(E396,Index!$A:$A,Index!$B:$B),"")</f>
        <v>914</v>
      </c>
    </row>
    <row r="397" spans="1:6" x14ac:dyDescent="0.25">
      <c r="A397" s="99"/>
      <c r="B397" s="236" t="s">
        <v>5574</v>
      </c>
      <c r="C397" s="64">
        <v>2</v>
      </c>
      <c r="D397" s="137">
        <v>50</v>
      </c>
      <c r="E397" s="38" t="s">
        <v>2936</v>
      </c>
      <c r="F397" s="34">
        <f>IFERROR(_xlfn.XLOOKUP(E397,Index!$A:$A,Index!$B:$B),"")</f>
        <v>83.25</v>
      </c>
    </row>
    <row r="398" spans="1:6" x14ac:dyDescent="0.25">
      <c r="A398" s="99"/>
      <c r="B398" s="144"/>
      <c r="C398" s="64" t="s">
        <v>231</v>
      </c>
      <c r="D398" s="137">
        <v>65</v>
      </c>
      <c r="E398" s="38" t="s">
        <v>2938</v>
      </c>
      <c r="F398" s="34">
        <f>IFERROR(_xlfn.XLOOKUP(E398,Index!$A:$A,Index!$B:$B),"")</f>
        <v>83.25</v>
      </c>
    </row>
    <row r="399" spans="1:6" x14ac:dyDescent="0.25">
      <c r="A399" s="99"/>
      <c r="B399" s="99"/>
      <c r="C399" s="36">
        <v>3</v>
      </c>
      <c r="D399" s="137">
        <v>80</v>
      </c>
      <c r="E399" s="38" t="s">
        <v>2939</v>
      </c>
      <c r="F399" s="34">
        <f>IFERROR(_xlfn.XLOOKUP(E399,Index!$A:$A,Index!$B:$B),"")</f>
        <v>83.25</v>
      </c>
    </row>
    <row r="400" spans="1:6" x14ac:dyDescent="0.25">
      <c r="A400" s="99"/>
      <c r="B400" s="99"/>
      <c r="C400" s="36">
        <v>4</v>
      </c>
      <c r="D400" s="137">
        <v>100</v>
      </c>
      <c r="E400" s="228" t="s">
        <v>2941</v>
      </c>
      <c r="F400" s="34">
        <f>IFERROR(_xlfn.XLOOKUP(E400,Index!$A:$A,Index!$B:$B),"")</f>
        <v>83.25</v>
      </c>
    </row>
    <row r="401" spans="1:6" x14ac:dyDescent="0.25">
      <c r="A401" s="99"/>
      <c r="B401" s="99"/>
      <c r="C401" s="36">
        <v>5</v>
      </c>
      <c r="D401" s="137">
        <v>125</v>
      </c>
      <c r="E401" s="38" t="s">
        <v>5542</v>
      </c>
      <c r="F401" s="34" t="str">
        <f>IFERROR(_xlfn.XLOOKUP(E401,Index!$A:$A,Index!$B:$B),"")</f>
        <v/>
      </c>
    </row>
    <row r="402" spans="1:6" x14ac:dyDescent="0.25">
      <c r="A402" s="99"/>
      <c r="B402" s="99"/>
      <c r="C402" s="36">
        <v>6</v>
      </c>
      <c r="D402" s="137">
        <v>150</v>
      </c>
      <c r="E402" s="38" t="s">
        <v>2947</v>
      </c>
      <c r="F402" s="34">
        <f>IFERROR(_xlfn.XLOOKUP(E402,Index!$A:$A,Index!$B:$B),"")</f>
        <v>125</v>
      </c>
    </row>
    <row r="403" spans="1:6" x14ac:dyDescent="0.25">
      <c r="A403" s="99"/>
      <c r="B403" s="99"/>
      <c r="C403" s="36">
        <v>8</v>
      </c>
      <c r="D403" s="137">
        <v>200</v>
      </c>
      <c r="E403" s="38" t="s">
        <v>2949</v>
      </c>
      <c r="F403" s="34">
        <f>IFERROR(_xlfn.XLOOKUP(E403,Index!$A:$A,Index!$B:$B),"")</f>
        <v>125</v>
      </c>
    </row>
    <row r="404" spans="1:6" x14ac:dyDescent="0.25">
      <c r="A404" s="99"/>
      <c r="B404" s="99"/>
      <c r="C404" s="36">
        <v>10</v>
      </c>
      <c r="D404" s="137">
        <v>250</v>
      </c>
      <c r="E404" s="38" t="s">
        <v>2952</v>
      </c>
      <c r="F404" s="34">
        <f>IFERROR(_xlfn.XLOOKUP(E404,Index!$A:$A,Index!$B:$B),"")</f>
        <v>1107</v>
      </c>
    </row>
    <row r="405" spans="1:6" x14ac:dyDescent="0.25">
      <c r="A405" s="99"/>
      <c r="B405" s="99"/>
      <c r="C405" s="36">
        <v>12</v>
      </c>
      <c r="D405" s="137">
        <v>300</v>
      </c>
      <c r="E405" s="38" t="s">
        <v>2963</v>
      </c>
      <c r="F405" s="34">
        <f>IFERROR(_xlfn.XLOOKUP(E405,Index!$A:$A,Index!$B:$B),"")</f>
        <v>291.5</v>
      </c>
    </row>
    <row r="406" spans="1:6" x14ac:dyDescent="0.25">
      <c r="A406" s="99"/>
      <c r="B406" s="236" t="s">
        <v>5575</v>
      </c>
      <c r="C406" s="64">
        <v>2</v>
      </c>
      <c r="D406" s="137">
        <v>50</v>
      </c>
      <c r="E406" s="38" t="s">
        <v>2893</v>
      </c>
      <c r="F406" s="34">
        <f>IFERROR(_xlfn.XLOOKUP(E406,Index!$A:$A,Index!$B:$B),"")</f>
        <v>209</v>
      </c>
    </row>
    <row r="407" spans="1:6" x14ac:dyDescent="0.25">
      <c r="A407" s="99"/>
      <c r="B407" s="144"/>
      <c r="C407" s="64" t="s">
        <v>231</v>
      </c>
      <c r="D407" s="137">
        <v>65</v>
      </c>
      <c r="E407" s="38" t="s">
        <v>2898</v>
      </c>
      <c r="F407" s="34">
        <f>IFERROR(_xlfn.XLOOKUP(E407,Index!$A:$A,Index!$B:$B),"")</f>
        <v>209</v>
      </c>
    </row>
    <row r="408" spans="1:6" x14ac:dyDescent="0.25">
      <c r="A408" s="99"/>
      <c r="B408" s="99"/>
      <c r="C408" s="36">
        <v>3</v>
      </c>
      <c r="D408" s="137">
        <v>80</v>
      </c>
      <c r="E408" s="38" t="s">
        <v>2903</v>
      </c>
      <c r="F408" s="34">
        <f>IFERROR(_xlfn.XLOOKUP(E408,Index!$A:$A,Index!$B:$B),"")</f>
        <v>209</v>
      </c>
    </row>
    <row r="409" spans="1:6" x14ac:dyDescent="0.25">
      <c r="A409" s="99"/>
      <c r="B409" s="99"/>
      <c r="C409" s="36">
        <v>4</v>
      </c>
      <c r="D409" s="137">
        <v>100</v>
      </c>
      <c r="E409" s="38" t="s">
        <v>2905</v>
      </c>
      <c r="F409" s="34">
        <f>IFERROR(_xlfn.XLOOKUP(E409,Index!$A:$A,Index!$B:$B),"")</f>
        <v>209</v>
      </c>
    </row>
    <row r="410" spans="1:6" x14ac:dyDescent="0.25">
      <c r="A410" s="99"/>
      <c r="B410" s="99"/>
      <c r="C410" s="36">
        <v>5</v>
      </c>
      <c r="D410" s="137">
        <v>125</v>
      </c>
      <c r="E410" s="38" t="s">
        <v>5542</v>
      </c>
      <c r="F410" s="34" t="str">
        <f>IFERROR(_xlfn.XLOOKUP(E410,Index!$A:$A,Index!$B:$B),"")</f>
        <v/>
      </c>
    </row>
    <row r="411" spans="1:6" x14ac:dyDescent="0.25">
      <c r="A411" s="99"/>
      <c r="B411" s="99"/>
      <c r="C411" s="36">
        <v>6</v>
      </c>
      <c r="D411" s="137">
        <v>150</v>
      </c>
      <c r="E411" s="38" t="s">
        <v>2915</v>
      </c>
      <c r="F411" s="34">
        <f>IFERROR(_xlfn.XLOOKUP(E411,Index!$A:$A,Index!$B:$B),"")</f>
        <v>250</v>
      </c>
    </row>
    <row r="412" spans="1:6" x14ac:dyDescent="0.25">
      <c r="A412" s="99"/>
      <c r="B412" s="99"/>
      <c r="C412" s="36">
        <v>8</v>
      </c>
      <c r="D412" s="137">
        <v>200</v>
      </c>
      <c r="E412" s="38" t="s">
        <v>2920</v>
      </c>
      <c r="F412" s="34">
        <f>IFERROR(_xlfn.XLOOKUP(E412,Index!$A:$A,Index!$B:$B),"")</f>
        <v>250</v>
      </c>
    </row>
    <row r="413" spans="1:6" x14ac:dyDescent="0.25">
      <c r="A413" s="99"/>
      <c r="B413" s="99"/>
      <c r="C413" s="36">
        <v>10</v>
      </c>
      <c r="D413" s="137">
        <v>250</v>
      </c>
      <c r="E413" s="38" t="s">
        <v>2926</v>
      </c>
      <c r="F413" s="34">
        <f>IFERROR(_xlfn.XLOOKUP(E413,Index!$A:$A,Index!$B:$B),"")</f>
        <v>541</v>
      </c>
    </row>
    <row r="414" spans="1:6" x14ac:dyDescent="0.25">
      <c r="A414" s="99"/>
      <c r="B414" s="99"/>
      <c r="C414" s="36">
        <v>12</v>
      </c>
      <c r="D414" s="137">
        <v>300</v>
      </c>
      <c r="E414" s="38" t="s">
        <v>2930</v>
      </c>
      <c r="F414" s="34">
        <f>IFERROR(_xlfn.XLOOKUP(E414,Index!$A:$A,Index!$B:$B),"")</f>
        <v>541</v>
      </c>
    </row>
    <row r="415" spans="1:6" x14ac:dyDescent="0.25">
      <c r="A415" s="99"/>
      <c r="B415" s="236" t="s">
        <v>5576</v>
      </c>
      <c r="C415" s="64">
        <v>2</v>
      </c>
      <c r="D415" s="137">
        <v>50</v>
      </c>
      <c r="E415" s="38" t="s">
        <v>2937</v>
      </c>
      <c r="F415" s="34">
        <f>IFERROR(_xlfn.XLOOKUP(E415,Index!$A:$A,Index!$B:$B),"")</f>
        <v>20</v>
      </c>
    </row>
    <row r="416" spans="1:6" x14ac:dyDescent="0.25">
      <c r="A416" s="99"/>
      <c r="B416" s="144"/>
      <c r="C416" s="64" t="s">
        <v>231</v>
      </c>
      <c r="D416" s="137">
        <v>65</v>
      </c>
      <c r="E416" s="38" t="s">
        <v>2937</v>
      </c>
      <c r="F416" s="34">
        <f>IFERROR(_xlfn.XLOOKUP(E416,Index!$A:$A,Index!$B:$B),"")</f>
        <v>20</v>
      </c>
    </row>
    <row r="417" spans="1:8" x14ac:dyDescent="0.25">
      <c r="A417" s="99"/>
      <c r="B417" s="99"/>
      <c r="C417" s="36">
        <v>3</v>
      </c>
      <c r="D417" s="137">
        <v>80</v>
      </c>
      <c r="E417" s="38" t="s">
        <v>2940</v>
      </c>
      <c r="F417" s="34">
        <f>IFERROR(_xlfn.XLOOKUP(E417,Index!$A:$A,Index!$B:$B),"")</f>
        <v>20</v>
      </c>
    </row>
    <row r="418" spans="1:8" x14ac:dyDescent="0.25">
      <c r="A418" s="99"/>
      <c r="B418" s="99"/>
      <c r="C418" s="36">
        <v>4</v>
      </c>
      <c r="D418" s="137">
        <v>100</v>
      </c>
      <c r="E418" s="38" t="s">
        <v>2942</v>
      </c>
      <c r="F418" s="34">
        <f>IFERROR(_xlfn.XLOOKUP(E418,Index!$A:$A,Index!$B:$B),"")</f>
        <v>20</v>
      </c>
    </row>
    <row r="419" spans="1:8" x14ac:dyDescent="0.25">
      <c r="A419" s="99"/>
      <c r="B419" s="99"/>
      <c r="C419" s="36">
        <v>5</v>
      </c>
      <c r="D419" s="137">
        <v>125</v>
      </c>
      <c r="E419" s="38" t="s">
        <v>5542</v>
      </c>
      <c r="F419" s="34" t="str">
        <f>IFERROR(_xlfn.XLOOKUP(E419,Index!$A:$A,Index!$B:$B),"")</f>
        <v/>
      </c>
    </row>
    <row r="420" spans="1:8" x14ac:dyDescent="0.25">
      <c r="A420" s="99"/>
      <c r="B420" s="99"/>
      <c r="C420" s="36">
        <v>6</v>
      </c>
      <c r="D420" s="137">
        <v>150</v>
      </c>
      <c r="E420" s="38" t="s">
        <v>2945</v>
      </c>
      <c r="F420" s="34">
        <f>IFERROR(_xlfn.XLOOKUP(E420,Index!$A:$A,Index!$B:$B),"")</f>
        <v>20</v>
      </c>
    </row>
    <row r="421" spans="1:8" x14ac:dyDescent="0.25">
      <c r="A421" s="99"/>
      <c r="B421" s="99"/>
      <c r="C421" s="36">
        <v>8</v>
      </c>
      <c r="D421" s="137">
        <v>200</v>
      </c>
      <c r="E421" s="38" t="s">
        <v>2950</v>
      </c>
      <c r="F421" s="34">
        <f>IFERROR(_xlfn.XLOOKUP(E421,Index!$A:$A,Index!$B:$B),"")</f>
        <v>20</v>
      </c>
    </row>
    <row r="422" spans="1:8" x14ac:dyDescent="0.25">
      <c r="A422" s="99"/>
      <c r="B422" s="99"/>
      <c r="C422" s="36">
        <v>10</v>
      </c>
      <c r="D422" s="137">
        <v>250</v>
      </c>
      <c r="E422" s="38" t="s">
        <v>2950</v>
      </c>
      <c r="F422" s="34">
        <f>IFERROR(_xlfn.XLOOKUP(E422,Index!$A:$A,Index!$B:$B),"")</f>
        <v>20</v>
      </c>
    </row>
    <row r="423" spans="1:8" x14ac:dyDescent="0.25">
      <c r="A423" s="121"/>
      <c r="B423" s="121"/>
      <c r="C423" s="36">
        <v>12</v>
      </c>
      <c r="D423" s="137">
        <v>300</v>
      </c>
      <c r="E423" s="38" t="s">
        <v>2922</v>
      </c>
      <c r="F423" s="34">
        <f>IFERROR(_xlfn.XLOOKUP(E423,Index!$A:$A,Index!$B:$B),"")</f>
        <v>20</v>
      </c>
    </row>
    <row r="425" spans="1:8" ht="15.75" x14ac:dyDescent="0.25">
      <c r="A425" s="62" t="s">
        <v>2557</v>
      </c>
      <c r="B425" s="62" t="s">
        <v>647</v>
      </c>
      <c r="C425" s="14"/>
      <c r="D425" s="14"/>
      <c r="E425" s="14"/>
      <c r="F425" s="3"/>
      <c r="G425" s="8"/>
      <c r="H425" s="110"/>
    </row>
    <row r="426" spans="1:8" ht="15.75" x14ac:dyDescent="0.25">
      <c r="A426" s="48" t="s">
        <v>2558</v>
      </c>
      <c r="B426" s="62"/>
      <c r="C426" s="4"/>
      <c r="D426" s="4"/>
      <c r="E426" s="4"/>
      <c r="F426" s="4"/>
      <c r="G426" s="5"/>
      <c r="H426" s="110"/>
    </row>
    <row r="427" spans="1:8" ht="24" x14ac:dyDescent="0.25">
      <c r="A427" s="102" t="s">
        <v>35</v>
      </c>
      <c r="B427" s="335" t="s">
        <v>38</v>
      </c>
      <c r="C427" s="336"/>
      <c r="D427" s="335" t="s">
        <v>39</v>
      </c>
      <c r="E427" s="336"/>
      <c r="F427" s="42" t="s">
        <v>40</v>
      </c>
      <c r="G427" s="24" t="s">
        <v>41</v>
      </c>
    </row>
    <row r="428" spans="1:8" x14ac:dyDescent="0.25">
      <c r="A428" s="96"/>
      <c r="B428" s="33" t="s">
        <v>44</v>
      </c>
      <c r="C428" s="33" t="s">
        <v>45</v>
      </c>
      <c r="D428" s="33" t="s">
        <v>46</v>
      </c>
      <c r="E428" s="39" t="s">
        <v>47</v>
      </c>
      <c r="F428" s="33"/>
      <c r="G428" s="41"/>
    </row>
    <row r="429" spans="1:8" x14ac:dyDescent="0.25">
      <c r="A429" s="60" t="s">
        <v>2559</v>
      </c>
      <c r="B429" s="64">
        <v>2</v>
      </c>
      <c r="C429" s="98">
        <v>50</v>
      </c>
      <c r="D429" s="35">
        <v>5</v>
      </c>
      <c r="E429" s="40">
        <v>2.2999999999999998</v>
      </c>
      <c r="F429" s="38" t="s">
        <v>2560</v>
      </c>
      <c r="G429" s="34">
        <f>IFERROR(_xlfn.XLOOKUP(F429,Index!$A:$A,Index!$B:$B),"")</f>
        <v>3054</v>
      </c>
    </row>
    <row r="430" spans="1:8" x14ac:dyDescent="0.25">
      <c r="A430" s="99"/>
      <c r="B430" s="125" t="s">
        <v>231</v>
      </c>
      <c r="C430" s="98">
        <v>65</v>
      </c>
      <c r="D430" s="35">
        <v>9</v>
      </c>
      <c r="E430" s="40">
        <v>41</v>
      </c>
      <c r="F430" s="38" t="s">
        <v>2561</v>
      </c>
      <c r="G430" s="34">
        <f>IFERROR(_xlfn.XLOOKUP(F430,Index!$A:$A,Index!$B:$B),"")</f>
        <v>3054</v>
      </c>
    </row>
    <row r="431" spans="1:8" x14ac:dyDescent="0.25">
      <c r="A431" s="99"/>
      <c r="B431" s="125">
        <v>3</v>
      </c>
      <c r="C431" s="98">
        <v>80</v>
      </c>
      <c r="D431" s="35">
        <v>10</v>
      </c>
      <c r="E431" s="40">
        <v>4.5</v>
      </c>
      <c r="F431" s="38" t="s">
        <v>2562</v>
      </c>
      <c r="G431" s="34">
        <f>IFERROR(_xlfn.XLOOKUP(F431,Index!$A:$A,Index!$B:$B),"")</f>
        <v>3152</v>
      </c>
    </row>
    <row r="432" spans="1:8" x14ac:dyDescent="0.25">
      <c r="A432" s="99"/>
      <c r="B432" s="125">
        <v>4</v>
      </c>
      <c r="C432" s="98">
        <v>100</v>
      </c>
      <c r="D432" s="35">
        <v>15</v>
      </c>
      <c r="E432" s="40">
        <v>6.8</v>
      </c>
      <c r="F432" s="38" t="s">
        <v>2563</v>
      </c>
      <c r="G432" s="34">
        <f>IFERROR(_xlfn.XLOOKUP(F432,Index!$A:$A,Index!$B:$B),"")</f>
        <v>6109</v>
      </c>
    </row>
    <row r="433" spans="1:8" x14ac:dyDescent="0.25">
      <c r="A433" s="99"/>
      <c r="B433" s="125">
        <v>5</v>
      </c>
      <c r="C433" s="98">
        <v>125</v>
      </c>
      <c r="D433" s="35">
        <v>27</v>
      </c>
      <c r="E433" s="40">
        <v>12.2</v>
      </c>
      <c r="F433" s="38" t="s">
        <v>2564</v>
      </c>
      <c r="G433" s="34">
        <f>IFERROR(_xlfn.XLOOKUP(F433,Index!$A:$A,Index!$B:$B),"")</f>
        <v>6549</v>
      </c>
    </row>
    <row r="434" spans="1:8" x14ac:dyDescent="0.25">
      <c r="A434" s="99"/>
      <c r="B434" s="125">
        <v>6</v>
      </c>
      <c r="C434" s="98">
        <v>150</v>
      </c>
      <c r="D434" s="35">
        <v>35</v>
      </c>
      <c r="E434" s="40">
        <v>15.9</v>
      </c>
      <c r="F434" s="38" t="s">
        <v>2565</v>
      </c>
      <c r="G434" s="34">
        <f>IFERROR(_xlfn.XLOOKUP(F434,Index!$A:$A,Index!$B:$B),"")</f>
        <v>8608</v>
      </c>
    </row>
    <row r="435" spans="1:8" x14ac:dyDescent="0.25">
      <c r="A435" s="99"/>
      <c r="B435" s="125">
        <v>8</v>
      </c>
      <c r="C435" s="98">
        <v>200</v>
      </c>
      <c r="D435" s="35">
        <v>56</v>
      </c>
      <c r="E435" s="40">
        <v>25.4</v>
      </c>
      <c r="F435" s="38" t="s">
        <v>2566</v>
      </c>
      <c r="G435" s="34">
        <f>IFERROR(_xlfn.XLOOKUP(F435,Index!$A:$A,Index!$B:$B),"")</f>
        <v>12148</v>
      </c>
    </row>
    <row r="436" spans="1:8" x14ac:dyDescent="0.25">
      <c r="A436" s="99"/>
      <c r="B436" s="125">
        <v>10</v>
      </c>
      <c r="C436" s="98">
        <v>250</v>
      </c>
      <c r="D436" s="35">
        <v>80</v>
      </c>
      <c r="E436" s="40">
        <v>36.299999999999997</v>
      </c>
      <c r="F436" s="38" t="s">
        <v>2567</v>
      </c>
      <c r="G436" s="34">
        <f>IFERROR(_xlfn.XLOOKUP(F436,Index!$A:$A,Index!$B:$B),"")</f>
        <v>18378</v>
      </c>
    </row>
    <row r="437" spans="1:8" x14ac:dyDescent="0.25">
      <c r="A437" s="121"/>
      <c r="B437" s="125">
        <v>12</v>
      </c>
      <c r="C437" s="98">
        <v>300</v>
      </c>
      <c r="D437" s="35">
        <v>155</v>
      </c>
      <c r="E437" s="40">
        <v>70.3</v>
      </c>
      <c r="F437" s="38" t="s">
        <v>2568</v>
      </c>
      <c r="G437" s="34">
        <f>IFERROR(_xlfn.XLOOKUP(F437,Index!$A:$A,Index!$B:$B),"")</f>
        <v>26842</v>
      </c>
    </row>
    <row r="439" spans="1:8" ht="15.75" x14ac:dyDescent="0.25">
      <c r="A439" s="62" t="s">
        <v>2557</v>
      </c>
      <c r="B439" s="62"/>
      <c r="C439" s="14"/>
      <c r="D439" s="14"/>
      <c r="E439" s="14"/>
      <c r="F439" s="3"/>
      <c r="G439" s="8"/>
      <c r="H439" s="110"/>
    </row>
    <row r="440" spans="1:8" ht="15.75" x14ac:dyDescent="0.25">
      <c r="A440" s="48" t="s">
        <v>102</v>
      </c>
      <c r="B440" s="11"/>
      <c r="C440" s="4"/>
      <c r="D440" s="4"/>
      <c r="E440" s="4"/>
      <c r="F440" s="4"/>
      <c r="G440" s="5"/>
      <c r="H440" s="110"/>
    </row>
    <row r="441" spans="1:8" ht="24" x14ac:dyDescent="0.25">
      <c r="A441" s="102" t="s">
        <v>35</v>
      </c>
      <c r="B441" s="140" t="s">
        <v>103</v>
      </c>
      <c r="C441" s="335" t="s">
        <v>38</v>
      </c>
      <c r="D441" s="336"/>
      <c r="E441" s="42" t="s">
        <v>40</v>
      </c>
      <c r="F441" s="24" t="s">
        <v>41</v>
      </c>
    </row>
    <row r="442" spans="1:8" x14ac:dyDescent="0.25">
      <c r="A442" s="96"/>
      <c r="B442" s="96"/>
      <c r="C442" s="33" t="s">
        <v>44</v>
      </c>
      <c r="D442" s="33" t="s">
        <v>45</v>
      </c>
      <c r="E442" s="104"/>
      <c r="F442" s="138"/>
    </row>
    <row r="443" spans="1:8" x14ac:dyDescent="0.25">
      <c r="A443" s="146" t="s">
        <v>2559</v>
      </c>
      <c r="B443" s="236" t="s">
        <v>2292</v>
      </c>
      <c r="C443" s="36">
        <v>2</v>
      </c>
      <c r="D443" s="137">
        <v>50</v>
      </c>
      <c r="E443" s="38" t="s">
        <v>2890</v>
      </c>
      <c r="F443" s="34">
        <f>IFERROR(_xlfn.XLOOKUP(E443,Index!$A:$A,Index!$B:$B),"")</f>
        <v>416</v>
      </c>
    </row>
    <row r="444" spans="1:8" x14ac:dyDescent="0.25">
      <c r="A444" s="99"/>
      <c r="B444" s="144"/>
      <c r="C444" s="64" t="s">
        <v>231</v>
      </c>
      <c r="D444" s="137">
        <v>65</v>
      </c>
      <c r="E444" s="38" t="s">
        <v>2895</v>
      </c>
      <c r="F444" s="34">
        <f>IFERROR(_xlfn.XLOOKUP(E444,Index!$A:$A,Index!$B:$B),"")</f>
        <v>664.5</v>
      </c>
    </row>
    <row r="445" spans="1:8" x14ac:dyDescent="0.25">
      <c r="A445" s="99"/>
      <c r="B445" s="99"/>
      <c r="C445" s="36">
        <v>3</v>
      </c>
      <c r="D445" s="137">
        <v>80</v>
      </c>
      <c r="E445" s="38" t="s">
        <v>2899</v>
      </c>
      <c r="F445" s="34">
        <f>IFERROR(_xlfn.XLOOKUP(E445,Index!$A:$A,Index!$B:$B),"")</f>
        <v>664.5</v>
      </c>
    </row>
    <row r="446" spans="1:8" x14ac:dyDescent="0.25">
      <c r="A446" s="99"/>
      <c r="B446" s="99"/>
      <c r="C446" s="36">
        <v>4</v>
      </c>
      <c r="D446" s="137">
        <v>100</v>
      </c>
      <c r="E446" s="38" t="s">
        <v>2904</v>
      </c>
      <c r="F446" s="34">
        <f>IFERROR(_xlfn.XLOOKUP(E446,Index!$A:$A,Index!$B:$B),"")</f>
        <v>747.5</v>
      </c>
    </row>
    <row r="447" spans="1:8" x14ac:dyDescent="0.25">
      <c r="A447" s="99"/>
      <c r="B447" s="99"/>
      <c r="C447" s="36">
        <v>5</v>
      </c>
      <c r="D447" s="137">
        <v>125</v>
      </c>
      <c r="E447" s="38" t="s">
        <v>2943</v>
      </c>
      <c r="F447" s="34">
        <f>IFERROR(_xlfn.XLOOKUP(E447,Index!$A:$A,Index!$B:$B),"")</f>
        <v>914</v>
      </c>
    </row>
    <row r="448" spans="1:8" x14ac:dyDescent="0.25">
      <c r="A448" s="99"/>
      <c r="B448" s="99"/>
      <c r="C448" s="36">
        <v>6</v>
      </c>
      <c r="D448" s="137">
        <v>150</v>
      </c>
      <c r="E448" s="38" t="s">
        <v>2946</v>
      </c>
      <c r="F448" s="34">
        <f>IFERROR(_xlfn.XLOOKUP(E448,Index!$A:$A,Index!$B:$B),"")</f>
        <v>914</v>
      </c>
    </row>
    <row r="449" spans="1:6" x14ac:dyDescent="0.25">
      <c r="A449" s="99"/>
      <c r="B449" s="99"/>
      <c r="C449" s="36">
        <v>8</v>
      </c>
      <c r="D449" s="137">
        <v>200</v>
      </c>
      <c r="E449" s="38" t="s">
        <v>2948</v>
      </c>
      <c r="F449" s="34">
        <f>IFERROR(_xlfn.XLOOKUP(E449,Index!$A:$A,Index!$B:$B),"")</f>
        <v>4982</v>
      </c>
    </row>
    <row r="450" spans="1:6" x14ac:dyDescent="0.25">
      <c r="A450" s="99"/>
      <c r="B450" s="99"/>
      <c r="C450" s="36">
        <v>10</v>
      </c>
      <c r="D450" s="137">
        <v>250</v>
      </c>
      <c r="E450" s="38" t="s">
        <v>2951</v>
      </c>
      <c r="F450" s="34">
        <f>IFERROR(_xlfn.XLOOKUP(E450,Index!$A:$A,Index!$B:$B),"")</f>
        <v>2012</v>
      </c>
    </row>
    <row r="451" spans="1:6" x14ac:dyDescent="0.25">
      <c r="A451" s="99"/>
      <c r="B451" s="99"/>
      <c r="C451" s="36">
        <v>12</v>
      </c>
      <c r="D451" s="137">
        <v>300</v>
      </c>
      <c r="E451" s="38" t="s">
        <v>2953</v>
      </c>
      <c r="F451" s="34">
        <f>IFERROR(_xlfn.XLOOKUP(E451,Index!$A:$A,Index!$B:$B),"")</f>
        <v>3322</v>
      </c>
    </row>
    <row r="452" spans="1:6" x14ac:dyDescent="0.25">
      <c r="A452" s="99"/>
      <c r="B452" s="236" t="s">
        <v>2294</v>
      </c>
      <c r="C452" s="36">
        <v>2</v>
      </c>
      <c r="D452" s="137">
        <v>50</v>
      </c>
      <c r="E452" s="38" t="s">
        <v>2892</v>
      </c>
      <c r="F452" s="34">
        <f>IFERROR(_xlfn.XLOOKUP(E452,Index!$A:$A,Index!$B:$B),"")</f>
        <v>250</v>
      </c>
    </row>
    <row r="453" spans="1:6" x14ac:dyDescent="0.25">
      <c r="A453" s="99"/>
      <c r="B453" s="144"/>
      <c r="C453" s="64" t="s">
        <v>231</v>
      </c>
      <c r="D453" s="137">
        <v>65</v>
      </c>
      <c r="E453" s="38" t="s">
        <v>2897</v>
      </c>
      <c r="F453" s="34">
        <f>IFERROR(_xlfn.XLOOKUP(E453,Index!$A:$A,Index!$B:$B),"")</f>
        <v>250</v>
      </c>
    </row>
    <row r="454" spans="1:6" x14ac:dyDescent="0.25">
      <c r="A454" s="99"/>
      <c r="B454" s="99"/>
      <c r="C454" s="36">
        <v>3</v>
      </c>
      <c r="D454" s="137">
        <v>80</v>
      </c>
      <c r="E454" s="38" t="s">
        <v>2901</v>
      </c>
      <c r="F454" s="34">
        <f>IFERROR(_xlfn.XLOOKUP(E454,Index!$A:$A,Index!$B:$B),"")</f>
        <v>250</v>
      </c>
    </row>
    <row r="455" spans="1:6" x14ac:dyDescent="0.25">
      <c r="A455" s="99"/>
      <c r="B455" s="99"/>
      <c r="C455" s="36">
        <v>4</v>
      </c>
      <c r="D455" s="137">
        <v>100</v>
      </c>
      <c r="E455" s="38" t="s">
        <v>2908</v>
      </c>
      <c r="F455" s="34">
        <f>IFERROR(_xlfn.XLOOKUP(E455,Index!$A:$A,Index!$B:$B),"")</f>
        <v>332.5</v>
      </c>
    </row>
    <row r="456" spans="1:6" x14ac:dyDescent="0.25">
      <c r="A456" s="99"/>
      <c r="B456" s="99"/>
      <c r="C456" s="36">
        <v>5</v>
      </c>
      <c r="D456" s="137">
        <v>125</v>
      </c>
      <c r="E456" s="38" t="s">
        <v>2912</v>
      </c>
      <c r="F456" s="34">
        <f>IFERROR(_xlfn.XLOOKUP(E456,Index!$A:$A,Index!$B:$B),"")</f>
        <v>332.5</v>
      </c>
    </row>
    <row r="457" spans="1:6" x14ac:dyDescent="0.25">
      <c r="A457" s="99"/>
      <c r="B457" s="99"/>
      <c r="C457" s="36">
        <v>6</v>
      </c>
      <c r="D457" s="137">
        <v>150</v>
      </c>
      <c r="E457" s="38" t="s">
        <v>2917</v>
      </c>
      <c r="F457" s="34">
        <f>IFERROR(_xlfn.XLOOKUP(E457,Index!$A:$A,Index!$B:$B),"")</f>
        <v>332.5</v>
      </c>
    </row>
    <row r="458" spans="1:6" x14ac:dyDescent="0.25">
      <c r="A458" s="99"/>
      <c r="B458" s="99"/>
      <c r="C458" s="36">
        <v>8</v>
      </c>
      <c r="D458" s="137">
        <v>200</v>
      </c>
      <c r="E458" s="38" t="s">
        <v>2921</v>
      </c>
      <c r="F458" s="34">
        <f>IFERROR(_xlfn.XLOOKUP(E458,Index!$A:$A,Index!$B:$B),"")</f>
        <v>498.5</v>
      </c>
    </row>
    <row r="459" spans="1:6" x14ac:dyDescent="0.25">
      <c r="A459" s="99"/>
      <c r="B459" s="99"/>
      <c r="C459" s="36">
        <v>10</v>
      </c>
      <c r="D459" s="137">
        <v>250</v>
      </c>
      <c r="E459" s="38" t="s">
        <v>2924</v>
      </c>
      <c r="F459" s="34">
        <f>IFERROR(_xlfn.XLOOKUP(E459,Index!$A:$A,Index!$B:$B),"")</f>
        <v>498.5</v>
      </c>
    </row>
    <row r="460" spans="1:6" x14ac:dyDescent="0.25">
      <c r="A460" s="99"/>
      <c r="B460" s="99"/>
      <c r="C460" s="36">
        <v>12</v>
      </c>
      <c r="D460" s="137">
        <v>300</v>
      </c>
      <c r="E460" s="38" t="s">
        <v>2928</v>
      </c>
      <c r="F460" s="34">
        <f>IFERROR(_xlfn.XLOOKUP(E460,Index!$A:$A,Index!$B:$B),"")</f>
        <v>914</v>
      </c>
    </row>
    <row r="461" spans="1:6" x14ac:dyDescent="0.25">
      <c r="A461" s="99"/>
      <c r="B461" s="236" t="s">
        <v>5574</v>
      </c>
      <c r="C461" s="36">
        <v>2</v>
      </c>
      <c r="D461" s="137">
        <v>50</v>
      </c>
      <c r="E461" s="38" t="s">
        <v>2936</v>
      </c>
      <c r="F461" s="34">
        <f>IFERROR(_xlfn.XLOOKUP(E461,Index!$A:$A,Index!$B:$B),"")</f>
        <v>83.25</v>
      </c>
    </row>
    <row r="462" spans="1:6" x14ac:dyDescent="0.25">
      <c r="A462" s="99"/>
      <c r="B462" s="144"/>
      <c r="C462" s="64" t="s">
        <v>231</v>
      </c>
      <c r="D462" s="137">
        <v>65</v>
      </c>
      <c r="E462" s="38" t="s">
        <v>2938</v>
      </c>
      <c r="F462" s="34">
        <f>IFERROR(_xlfn.XLOOKUP(E462,Index!$A:$A,Index!$B:$B),"")</f>
        <v>83.25</v>
      </c>
    </row>
    <row r="463" spans="1:6" x14ac:dyDescent="0.25">
      <c r="A463" s="99"/>
      <c r="B463" s="99"/>
      <c r="C463" s="36">
        <v>3</v>
      </c>
      <c r="D463" s="137">
        <v>80</v>
      </c>
      <c r="E463" s="38" t="s">
        <v>2939</v>
      </c>
      <c r="F463" s="34">
        <f>IFERROR(_xlfn.XLOOKUP(E463,Index!$A:$A,Index!$B:$B),"")</f>
        <v>83.25</v>
      </c>
    </row>
    <row r="464" spans="1:6" x14ac:dyDescent="0.25">
      <c r="A464" s="99"/>
      <c r="B464" s="99"/>
      <c r="C464" s="36">
        <v>4</v>
      </c>
      <c r="D464" s="137">
        <v>100</v>
      </c>
      <c r="E464" s="228" t="s">
        <v>2941</v>
      </c>
      <c r="F464" s="34">
        <f>IFERROR(_xlfn.XLOOKUP(E464,Index!$A:$A,Index!$B:$B),"")</f>
        <v>83.25</v>
      </c>
    </row>
    <row r="465" spans="1:6" x14ac:dyDescent="0.25">
      <c r="A465" s="99"/>
      <c r="B465" s="99"/>
      <c r="C465" s="36">
        <v>5</v>
      </c>
      <c r="D465" s="137">
        <v>125</v>
      </c>
      <c r="E465" s="38" t="s">
        <v>2944</v>
      </c>
      <c r="F465" s="34">
        <f>IFERROR(_xlfn.XLOOKUP(E465,Index!$A:$A,Index!$B:$B),"")</f>
        <v>83.25</v>
      </c>
    </row>
    <row r="466" spans="1:6" x14ac:dyDescent="0.25">
      <c r="A466" s="99"/>
      <c r="B466" s="99"/>
      <c r="C466" s="36">
        <v>6</v>
      </c>
      <c r="D466" s="137">
        <v>150</v>
      </c>
      <c r="E466" s="38" t="s">
        <v>2947</v>
      </c>
      <c r="F466" s="34">
        <f>IFERROR(_xlfn.XLOOKUP(E466,Index!$A:$A,Index!$B:$B),"")</f>
        <v>125</v>
      </c>
    </row>
    <row r="467" spans="1:6" x14ac:dyDescent="0.25">
      <c r="A467" s="99"/>
      <c r="B467" s="99"/>
      <c r="C467" s="36">
        <v>8</v>
      </c>
      <c r="D467" s="137">
        <v>200</v>
      </c>
      <c r="E467" s="38" t="s">
        <v>2949</v>
      </c>
      <c r="F467" s="34">
        <f>IFERROR(_xlfn.XLOOKUP(E467,Index!$A:$A,Index!$B:$B),"")</f>
        <v>125</v>
      </c>
    </row>
    <row r="468" spans="1:6" x14ac:dyDescent="0.25">
      <c r="A468" s="99"/>
      <c r="B468" s="99"/>
      <c r="C468" s="36">
        <v>10</v>
      </c>
      <c r="D468" s="137">
        <v>250</v>
      </c>
      <c r="E468" s="38" t="s">
        <v>2952</v>
      </c>
      <c r="F468" s="34">
        <f>IFERROR(_xlfn.XLOOKUP(E468,Index!$A:$A,Index!$B:$B),"")</f>
        <v>1107</v>
      </c>
    </row>
    <row r="469" spans="1:6" x14ac:dyDescent="0.25">
      <c r="A469" s="99"/>
      <c r="B469" s="99"/>
      <c r="C469" s="36">
        <v>12</v>
      </c>
      <c r="D469" s="137">
        <v>300</v>
      </c>
      <c r="E469" s="38" t="s">
        <v>2994</v>
      </c>
      <c r="F469" s="34">
        <f>IFERROR(_xlfn.XLOOKUP(E469,Index!$A:$A,Index!$B:$B),"")</f>
        <v>291.5</v>
      </c>
    </row>
    <row r="470" spans="1:6" x14ac:dyDescent="0.25">
      <c r="A470" s="99"/>
      <c r="B470" s="236" t="s">
        <v>5575</v>
      </c>
      <c r="C470" s="36">
        <v>2</v>
      </c>
      <c r="D470" s="137">
        <v>50</v>
      </c>
      <c r="E470" s="38" t="s">
        <v>2893</v>
      </c>
      <c r="F470" s="34">
        <f>IFERROR(_xlfn.XLOOKUP(E470,Index!$A:$A,Index!$B:$B),"")</f>
        <v>209</v>
      </c>
    </row>
    <row r="471" spans="1:6" x14ac:dyDescent="0.25">
      <c r="A471" s="99"/>
      <c r="B471" s="144"/>
      <c r="C471" s="64" t="s">
        <v>231</v>
      </c>
      <c r="D471" s="137">
        <v>65</v>
      </c>
      <c r="E471" s="38" t="s">
        <v>2898</v>
      </c>
      <c r="F471" s="34">
        <f>IFERROR(_xlfn.XLOOKUP(E471,Index!$A:$A,Index!$B:$B),"")</f>
        <v>209</v>
      </c>
    </row>
    <row r="472" spans="1:6" x14ac:dyDescent="0.25">
      <c r="A472" s="99"/>
      <c r="B472" s="99"/>
      <c r="C472" s="36">
        <v>3</v>
      </c>
      <c r="D472" s="137">
        <v>80</v>
      </c>
      <c r="E472" s="38" t="s">
        <v>2903</v>
      </c>
      <c r="F472" s="34">
        <f>IFERROR(_xlfn.XLOOKUP(E472,Index!$A:$A,Index!$B:$B),"")</f>
        <v>209</v>
      </c>
    </row>
    <row r="473" spans="1:6" x14ac:dyDescent="0.25">
      <c r="A473" s="99"/>
      <c r="B473" s="99"/>
      <c r="C473" s="36">
        <v>4</v>
      </c>
      <c r="D473" s="137">
        <v>100</v>
      </c>
      <c r="E473" s="38" t="s">
        <v>2905</v>
      </c>
      <c r="F473" s="34">
        <f>IFERROR(_xlfn.XLOOKUP(E473,Index!$A:$A,Index!$B:$B),"")</f>
        <v>209</v>
      </c>
    </row>
    <row r="474" spans="1:6" x14ac:dyDescent="0.25">
      <c r="A474" s="99"/>
      <c r="B474" s="99"/>
      <c r="C474" s="36">
        <v>5</v>
      </c>
      <c r="D474" s="137">
        <v>125</v>
      </c>
      <c r="E474" s="38" t="s">
        <v>2911</v>
      </c>
      <c r="F474" s="34">
        <f>IFERROR(_xlfn.XLOOKUP(E474,Index!$A:$A,Index!$B:$B),"")</f>
        <v>250</v>
      </c>
    </row>
    <row r="475" spans="1:6" x14ac:dyDescent="0.25">
      <c r="A475" s="99"/>
      <c r="B475" s="99"/>
      <c r="C475" s="36">
        <v>6</v>
      </c>
      <c r="D475" s="137">
        <v>150</v>
      </c>
      <c r="E475" s="38" t="s">
        <v>2915</v>
      </c>
      <c r="F475" s="34">
        <f>IFERROR(_xlfn.XLOOKUP(E475,Index!$A:$A,Index!$B:$B),"")</f>
        <v>250</v>
      </c>
    </row>
    <row r="476" spans="1:6" x14ac:dyDescent="0.25">
      <c r="A476" s="99"/>
      <c r="B476" s="99"/>
      <c r="C476" s="36">
        <v>8</v>
      </c>
      <c r="D476" s="137">
        <v>200</v>
      </c>
      <c r="E476" s="38" t="s">
        <v>2920</v>
      </c>
      <c r="F476" s="34">
        <f>IFERROR(_xlfn.XLOOKUP(E476,Index!$A:$A,Index!$B:$B),"")</f>
        <v>250</v>
      </c>
    </row>
    <row r="477" spans="1:6" x14ac:dyDescent="0.25">
      <c r="A477" s="99"/>
      <c r="B477" s="99"/>
      <c r="C477" s="36">
        <v>10</v>
      </c>
      <c r="D477" s="137">
        <v>250</v>
      </c>
      <c r="E477" s="38" t="s">
        <v>2926</v>
      </c>
      <c r="F477" s="34">
        <f>IFERROR(_xlfn.XLOOKUP(E477,Index!$A:$A,Index!$B:$B),"")</f>
        <v>541</v>
      </c>
    </row>
    <row r="478" spans="1:6" x14ac:dyDescent="0.25">
      <c r="A478" s="99"/>
      <c r="B478" s="99"/>
      <c r="C478" s="36">
        <v>12</v>
      </c>
      <c r="D478" s="137">
        <v>300</v>
      </c>
      <c r="E478" s="38" t="s">
        <v>2930</v>
      </c>
      <c r="F478" s="34">
        <f>IFERROR(_xlfn.XLOOKUP(E478,Index!$A:$A,Index!$B:$B),"")</f>
        <v>541</v>
      </c>
    </row>
    <row r="479" spans="1:6" x14ac:dyDescent="0.25">
      <c r="A479" s="99"/>
      <c r="B479" s="236" t="s">
        <v>5576</v>
      </c>
      <c r="C479" s="36">
        <v>2</v>
      </c>
      <c r="D479" s="137">
        <v>50</v>
      </c>
      <c r="E479" s="38" t="s">
        <v>2937</v>
      </c>
      <c r="F479" s="34">
        <f>IFERROR(_xlfn.XLOOKUP(E479,Index!$A:$A,Index!$B:$B),"")</f>
        <v>20</v>
      </c>
    </row>
    <row r="480" spans="1:6" x14ac:dyDescent="0.25">
      <c r="A480" s="99"/>
      <c r="B480" s="144"/>
      <c r="C480" s="64" t="s">
        <v>231</v>
      </c>
      <c r="D480" s="137">
        <v>65</v>
      </c>
      <c r="E480" s="38" t="s">
        <v>2937</v>
      </c>
      <c r="F480" s="34">
        <f>IFERROR(_xlfn.XLOOKUP(E480,Index!$A:$A,Index!$B:$B),"")</f>
        <v>20</v>
      </c>
    </row>
    <row r="481" spans="1:8" x14ac:dyDescent="0.25">
      <c r="A481" s="99"/>
      <c r="B481" s="99"/>
      <c r="C481" s="36">
        <v>3</v>
      </c>
      <c r="D481" s="137">
        <v>80</v>
      </c>
      <c r="E481" s="38" t="s">
        <v>2940</v>
      </c>
      <c r="F481" s="34">
        <f>IFERROR(_xlfn.XLOOKUP(E481,Index!$A:$A,Index!$B:$B),"")</f>
        <v>20</v>
      </c>
    </row>
    <row r="482" spans="1:8" x14ac:dyDescent="0.25">
      <c r="A482" s="99"/>
      <c r="B482" s="99"/>
      <c r="C482" s="36">
        <v>4</v>
      </c>
      <c r="D482" s="137">
        <v>100</v>
      </c>
      <c r="E482" s="38" t="s">
        <v>2942</v>
      </c>
      <c r="F482" s="34">
        <f>IFERROR(_xlfn.XLOOKUP(E482,Index!$A:$A,Index!$B:$B),"")</f>
        <v>20</v>
      </c>
    </row>
    <row r="483" spans="1:8" x14ac:dyDescent="0.25">
      <c r="A483" s="99"/>
      <c r="B483" s="99"/>
      <c r="C483" s="36">
        <v>5</v>
      </c>
      <c r="D483" s="137">
        <v>125</v>
      </c>
      <c r="E483" s="38" t="s">
        <v>2945</v>
      </c>
      <c r="F483" s="34">
        <f>IFERROR(_xlfn.XLOOKUP(E483,Index!$A:$A,Index!$B:$B),"")</f>
        <v>20</v>
      </c>
    </row>
    <row r="484" spans="1:8" x14ac:dyDescent="0.25">
      <c r="A484" s="99"/>
      <c r="B484" s="99"/>
      <c r="C484" s="36">
        <v>6</v>
      </c>
      <c r="D484" s="137">
        <v>150</v>
      </c>
      <c r="E484" s="38" t="s">
        <v>2945</v>
      </c>
      <c r="F484" s="34">
        <f>IFERROR(_xlfn.XLOOKUP(E484,Index!$A:$A,Index!$B:$B),"")</f>
        <v>20</v>
      </c>
    </row>
    <row r="485" spans="1:8" x14ac:dyDescent="0.25">
      <c r="A485" s="99"/>
      <c r="B485" s="99"/>
      <c r="C485" s="36">
        <v>8</v>
      </c>
      <c r="D485" s="137">
        <v>200</v>
      </c>
      <c r="E485" s="38" t="s">
        <v>2950</v>
      </c>
      <c r="F485" s="34">
        <f>IFERROR(_xlfn.XLOOKUP(E485,Index!$A:$A,Index!$B:$B),"")</f>
        <v>20</v>
      </c>
    </row>
    <row r="486" spans="1:8" x14ac:dyDescent="0.25">
      <c r="A486" s="99"/>
      <c r="B486" s="99"/>
      <c r="C486" s="36">
        <v>10</v>
      </c>
      <c r="D486" s="137">
        <v>250</v>
      </c>
      <c r="E486" s="38" t="s">
        <v>2950</v>
      </c>
      <c r="F486" s="34">
        <f>IFERROR(_xlfn.XLOOKUP(E486,Index!$A:$A,Index!$B:$B),"")</f>
        <v>20</v>
      </c>
    </row>
    <row r="487" spans="1:8" x14ac:dyDescent="0.25">
      <c r="A487" s="121"/>
      <c r="B487" s="121"/>
      <c r="C487" s="36">
        <v>12</v>
      </c>
      <c r="D487" s="137">
        <v>300</v>
      </c>
      <c r="E487" s="38" t="s">
        <v>2950</v>
      </c>
      <c r="F487" s="34">
        <f>IFERROR(_xlfn.XLOOKUP(E487,Index!$A:$A,Index!$B:$B),"")</f>
        <v>20</v>
      </c>
    </row>
    <row r="489" spans="1:8" ht="15.75" x14ac:dyDescent="0.25">
      <c r="A489" s="62" t="s">
        <v>2569</v>
      </c>
      <c r="B489" s="62" t="s">
        <v>174</v>
      </c>
      <c r="C489" s="14"/>
      <c r="D489" s="14"/>
      <c r="E489" s="14"/>
      <c r="F489" s="3"/>
      <c r="G489" s="8"/>
      <c r="H489" s="110"/>
    </row>
    <row r="490" spans="1:8" ht="15.75" x14ac:dyDescent="0.25">
      <c r="A490" s="48" t="s">
        <v>2558</v>
      </c>
      <c r="B490" s="62"/>
      <c r="C490" s="4"/>
      <c r="D490" s="4"/>
      <c r="E490" s="4"/>
      <c r="F490" s="4"/>
      <c r="G490" s="5"/>
      <c r="H490" s="110"/>
    </row>
    <row r="491" spans="1:8" ht="24" x14ac:dyDescent="0.25">
      <c r="A491" s="102" t="s">
        <v>35</v>
      </c>
      <c r="B491" s="335" t="s">
        <v>38</v>
      </c>
      <c r="C491" s="336"/>
      <c r="D491" s="335" t="s">
        <v>39</v>
      </c>
      <c r="E491" s="336"/>
      <c r="F491" s="42" t="s">
        <v>40</v>
      </c>
      <c r="G491" s="24" t="s">
        <v>41</v>
      </c>
    </row>
    <row r="492" spans="1:8" x14ac:dyDescent="0.25">
      <c r="A492" s="96"/>
      <c r="B492" s="33" t="s">
        <v>44</v>
      </c>
      <c r="C492" s="33" t="s">
        <v>45</v>
      </c>
      <c r="D492" s="33" t="s">
        <v>46</v>
      </c>
      <c r="E492" s="39" t="s">
        <v>47</v>
      </c>
      <c r="F492" s="33"/>
      <c r="G492" s="41"/>
    </row>
    <row r="493" spans="1:8" x14ac:dyDescent="0.25">
      <c r="A493" s="60" t="s">
        <v>2570</v>
      </c>
      <c r="B493" s="64">
        <v>2</v>
      </c>
      <c r="C493" s="98">
        <v>50</v>
      </c>
      <c r="D493" s="35">
        <v>5</v>
      </c>
      <c r="E493" s="40">
        <v>2.2999999999999998</v>
      </c>
      <c r="F493" s="38" t="s">
        <v>2571</v>
      </c>
      <c r="G493" s="34">
        <f>IFERROR(_xlfn.XLOOKUP(F493,Index!$A:$A,Index!$B:$B),"")</f>
        <v>3054</v>
      </c>
    </row>
    <row r="494" spans="1:8" x14ac:dyDescent="0.25">
      <c r="A494" s="99"/>
      <c r="B494" s="125" t="s">
        <v>231</v>
      </c>
      <c r="C494" s="98">
        <v>65</v>
      </c>
      <c r="D494" s="35">
        <v>9</v>
      </c>
      <c r="E494" s="40">
        <v>4.0999999999999996</v>
      </c>
      <c r="F494" s="38" t="s">
        <v>5542</v>
      </c>
      <c r="G494" s="34" t="str">
        <f>IFERROR(_xlfn.XLOOKUP(F494,Index!$A:$A,Index!$B:$B),"")</f>
        <v/>
      </c>
    </row>
    <row r="495" spans="1:8" x14ac:dyDescent="0.25">
      <c r="A495" s="99"/>
      <c r="B495" s="125">
        <v>3</v>
      </c>
      <c r="C495" s="98">
        <v>80</v>
      </c>
      <c r="D495" s="35">
        <v>10</v>
      </c>
      <c r="E495" s="40">
        <v>4.5</v>
      </c>
      <c r="F495" s="38" t="s">
        <v>2572</v>
      </c>
      <c r="G495" s="34">
        <f>IFERROR(_xlfn.XLOOKUP(F495,Index!$A:$A,Index!$B:$B),"")</f>
        <v>3770</v>
      </c>
    </row>
    <row r="496" spans="1:8" x14ac:dyDescent="0.25">
      <c r="A496" s="99"/>
      <c r="B496" s="125">
        <v>4</v>
      </c>
      <c r="C496" s="98">
        <v>100</v>
      </c>
      <c r="D496" s="35">
        <v>15</v>
      </c>
      <c r="E496" s="40">
        <v>6.8</v>
      </c>
      <c r="F496" s="38" t="s">
        <v>2573</v>
      </c>
      <c r="G496" s="34">
        <f>IFERROR(_xlfn.XLOOKUP(F496,Index!$A:$A,Index!$B:$B),"")</f>
        <v>6109</v>
      </c>
    </row>
    <row r="497" spans="1:8" x14ac:dyDescent="0.25">
      <c r="A497" s="99"/>
      <c r="B497" s="125">
        <v>6</v>
      </c>
      <c r="C497" s="98">
        <v>150</v>
      </c>
      <c r="D497" s="35">
        <v>43</v>
      </c>
      <c r="E497" s="40">
        <v>19.5</v>
      </c>
      <c r="F497" s="38" t="s">
        <v>2574</v>
      </c>
      <c r="G497" s="34">
        <f>IFERROR(_xlfn.XLOOKUP(F497,Index!$A:$A,Index!$B:$B),"")</f>
        <v>9764</v>
      </c>
    </row>
    <row r="498" spans="1:8" x14ac:dyDescent="0.25">
      <c r="A498" s="99"/>
      <c r="B498" s="125">
        <v>8</v>
      </c>
      <c r="C498" s="98">
        <v>200</v>
      </c>
      <c r="D498" s="35">
        <v>56</v>
      </c>
      <c r="E498" s="40">
        <v>25.4</v>
      </c>
      <c r="F498" s="38" t="s">
        <v>2575</v>
      </c>
      <c r="G498" s="34">
        <f>IFERROR(_xlfn.XLOOKUP(F498,Index!$A:$A,Index!$B:$B),"")</f>
        <v>16816</v>
      </c>
    </row>
    <row r="499" spans="1:8" x14ac:dyDescent="0.25">
      <c r="A499" s="99"/>
      <c r="B499" s="125">
        <v>10</v>
      </c>
      <c r="C499" s="98">
        <v>250</v>
      </c>
      <c r="D499" s="35">
        <v>100</v>
      </c>
      <c r="E499" s="40">
        <v>45.4</v>
      </c>
      <c r="F499" s="38" t="s">
        <v>2576</v>
      </c>
      <c r="G499" s="34">
        <f>IFERROR(_xlfn.XLOOKUP(F499,Index!$A:$A,Index!$B:$B),"")</f>
        <v>22903</v>
      </c>
    </row>
    <row r="500" spans="1:8" x14ac:dyDescent="0.25">
      <c r="A500" s="121"/>
      <c r="B500" s="125">
        <v>12</v>
      </c>
      <c r="C500" s="98">
        <v>300</v>
      </c>
      <c r="D500" s="35">
        <v>236</v>
      </c>
      <c r="E500" s="40">
        <v>107</v>
      </c>
      <c r="F500" s="38" t="s">
        <v>2577</v>
      </c>
      <c r="G500" s="34">
        <f>IFERROR(_xlfn.XLOOKUP(F500,Index!$A:$A,Index!$B:$B),"")</f>
        <v>32729</v>
      </c>
    </row>
    <row r="502" spans="1:8" ht="15.75" x14ac:dyDescent="0.25">
      <c r="A502" s="62" t="s">
        <v>2569</v>
      </c>
      <c r="B502" s="62"/>
      <c r="C502" s="14"/>
      <c r="D502" s="14"/>
      <c r="E502" s="14"/>
      <c r="F502" s="3"/>
      <c r="G502" s="8"/>
      <c r="H502" s="110"/>
    </row>
    <row r="503" spans="1:8" ht="15.75" x14ac:dyDescent="0.25">
      <c r="A503" s="48" t="s">
        <v>102</v>
      </c>
      <c r="B503" s="11"/>
      <c r="C503" s="4"/>
      <c r="D503" s="4"/>
      <c r="E503" s="4"/>
      <c r="F503" s="4"/>
      <c r="G503" s="5"/>
      <c r="H503" s="110"/>
    </row>
    <row r="504" spans="1:8" ht="24" x14ac:dyDescent="0.25">
      <c r="A504" s="102" t="s">
        <v>35</v>
      </c>
      <c r="B504" s="140" t="s">
        <v>103</v>
      </c>
      <c r="C504" s="337" t="s">
        <v>38</v>
      </c>
      <c r="D504" s="337"/>
      <c r="E504" s="42" t="s">
        <v>40</v>
      </c>
      <c r="F504" s="24" t="s">
        <v>41</v>
      </c>
    </row>
    <row r="505" spans="1:8" x14ac:dyDescent="0.25">
      <c r="A505" s="96"/>
      <c r="B505" s="96"/>
      <c r="C505" s="33" t="s">
        <v>44</v>
      </c>
      <c r="D505" s="33" t="s">
        <v>45</v>
      </c>
      <c r="E505" s="104"/>
      <c r="F505" s="138"/>
    </row>
    <row r="506" spans="1:8" x14ac:dyDescent="0.25">
      <c r="A506" s="146" t="s">
        <v>2570</v>
      </c>
      <c r="B506" s="146" t="s">
        <v>2292</v>
      </c>
      <c r="C506" s="36">
        <v>2</v>
      </c>
      <c r="D506" s="137">
        <v>50</v>
      </c>
      <c r="E506" s="38" t="s">
        <v>2890</v>
      </c>
      <c r="F506" s="34">
        <f>IFERROR(_xlfn.XLOOKUP(E506,Index!$A:$A,Index!$B:$B),"")</f>
        <v>416</v>
      </c>
    </row>
    <row r="507" spans="1:8" x14ac:dyDescent="0.25">
      <c r="A507" s="99"/>
      <c r="B507" s="144"/>
      <c r="C507" s="64" t="s">
        <v>231</v>
      </c>
      <c r="D507" s="137">
        <v>65</v>
      </c>
      <c r="E507" s="38" t="s">
        <v>5542</v>
      </c>
      <c r="F507" s="34" t="str">
        <f>IFERROR(_xlfn.XLOOKUP(E507,Index!$A:$A,Index!$B:$B),"")</f>
        <v/>
      </c>
    </row>
    <row r="508" spans="1:8" x14ac:dyDescent="0.25">
      <c r="A508" s="99"/>
      <c r="B508" s="99"/>
      <c r="C508" s="36">
        <v>3</v>
      </c>
      <c r="D508" s="137">
        <v>80</v>
      </c>
      <c r="E508" s="38" t="s">
        <v>2899</v>
      </c>
      <c r="F508" s="34">
        <f>IFERROR(_xlfn.XLOOKUP(E508,Index!$A:$A,Index!$B:$B),"")</f>
        <v>664.5</v>
      </c>
    </row>
    <row r="509" spans="1:8" x14ac:dyDescent="0.25">
      <c r="A509" s="99"/>
      <c r="B509" s="99"/>
      <c r="C509" s="36">
        <v>4</v>
      </c>
      <c r="D509" s="137">
        <v>100</v>
      </c>
      <c r="E509" s="38" t="s">
        <v>2904</v>
      </c>
      <c r="F509" s="34">
        <f>IFERROR(_xlfn.XLOOKUP(E509,Index!$A:$A,Index!$B:$B),"")</f>
        <v>747.5</v>
      </c>
    </row>
    <row r="510" spans="1:8" x14ac:dyDescent="0.25">
      <c r="A510" s="99"/>
      <c r="B510" s="99"/>
      <c r="C510" s="36">
        <v>5</v>
      </c>
      <c r="D510" s="137">
        <v>125</v>
      </c>
      <c r="E510" s="38" t="s">
        <v>5542</v>
      </c>
      <c r="F510" s="34" t="str">
        <f>IFERROR(_xlfn.XLOOKUP(E510,Index!$A:$A,Index!$B:$B),"")</f>
        <v/>
      </c>
    </row>
    <row r="511" spans="1:8" x14ac:dyDescent="0.25">
      <c r="A511" s="99"/>
      <c r="B511" s="99"/>
      <c r="C511" s="36">
        <v>6</v>
      </c>
      <c r="D511" s="137">
        <v>150</v>
      </c>
      <c r="E511" s="38" t="s">
        <v>2946</v>
      </c>
      <c r="F511" s="34">
        <f>IFERROR(_xlfn.XLOOKUP(E511,Index!$A:$A,Index!$B:$B),"")</f>
        <v>914</v>
      </c>
    </row>
    <row r="512" spans="1:8" x14ac:dyDescent="0.25">
      <c r="A512" s="99"/>
      <c r="B512" s="99"/>
      <c r="C512" s="36">
        <v>8</v>
      </c>
      <c r="D512" s="137">
        <v>200</v>
      </c>
      <c r="E512" s="38" t="s">
        <v>2948</v>
      </c>
      <c r="F512" s="34">
        <f>IFERROR(_xlfn.XLOOKUP(E512,Index!$A:$A,Index!$B:$B),"")</f>
        <v>4982</v>
      </c>
    </row>
    <row r="513" spans="1:6" x14ac:dyDescent="0.25">
      <c r="A513" s="99"/>
      <c r="B513" s="99"/>
      <c r="C513" s="36">
        <v>10</v>
      </c>
      <c r="D513" s="137">
        <v>250</v>
      </c>
      <c r="E513" s="38" t="s">
        <v>2951</v>
      </c>
      <c r="F513" s="34">
        <f>IFERROR(_xlfn.XLOOKUP(E513,Index!$A:$A,Index!$B:$B),"")</f>
        <v>2012</v>
      </c>
    </row>
    <row r="514" spans="1:6" x14ac:dyDescent="0.25">
      <c r="A514" s="99"/>
      <c r="B514" s="99"/>
      <c r="C514" s="36">
        <v>12</v>
      </c>
      <c r="D514" s="137">
        <v>300</v>
      </c>
      <c r="E514" s="38" t="s">
        <v>2953</v>
      </c>
      <c r="F514" s="34">
        <f>IFERROR(_xlfn.XLOOKUP(E514,Index!$A:$A,Index!$B:$B),"")</f>
        <v>3322</v>
      </c>
    </row>
    <row r="515" spans="1:6" x14ac:dyDescent="0.25">
      <c r="A515" s="132"/>
      <c r="B515" s="146" t="s">
        <v>2294</v>
      </c>
      <c r="C515" s="36">
        <v>2</v>
      </c>
      <c r="D515" s="137">
        <v>50</v>
      </c>
      <c r="E515" s="38" t="s">
        <v>2892</v>
      </c>
      <c r="F515" s="34">
        <f>IFERROR(_xlfn.XLOOKUP(E515,Index!$A:$A,Index!$B:$B),"")</f>
        <v>250</v>
      </c>
    </row>
    <row r="516" spans="1:6" x14ac:dyDescent="0.25">
      <c r="A516" s="99"/>
      <c r="B516" s="144"/>
      <c r="C516" s="64" t="s">
        <v>231</v>
      </c>
      <c r="D516" s="137">
        <v>65</v>
      </c>
      <c r="E516" s="38" t="s">
        <v>5542</v>
      </c>
      <c r="F516" s="34" t="str">
        <f>IFERROR(_xlfn.XLOOKUP(E516,Index!$A:$A,Index!$B:$B),"")</f>
        <v/>
      </c>
    </row>
    <row r="517" spans="1:6" x14ac:dyDescent="0.25">
      <c r="A517" s="99"/>
      <c r="B517" s="99"/>
      <c r="C517" s="36">
        <v>3</v>
      </c>
      <c r="D517" s="137">
        <v>80</v>
      </c>
      <c r="E517" s="38" t="s">
        <v>2901</v>
      </c>
      <c r="F517" s="34">
        <f>IFERROR(_xlfn.XLOOKUP(E517,Index!$A:$A,Index!$B:$B),"")</f>
        <v>250</v>
      </c>
    </row>
    <row r="518" spans="1:6" x14ac:dyDescent="0.25">
      <c r="A518" s="99"/>
      <c r="B518" s="99"/>
      <c r="C518" s="36">
        <v>4</v>
      </c>
      <c r="D518" s="137">
        <v>100</v>
      </c>
      <c r="E518" s="38" t="s">
        <v>2908</v>
      </c>
      <c r="F518" s="34">
        <f>IFERROR(_xlfn.XLOOKUP(E518,Index!$A:$A,Index!$B:$B),"")</f>
        <v>332.5</v>
      </c>
    </row>
    <row r="519" spans="1:6" x14ac:dyDescent="0.25">
      <c r="A519" s="99"/>
      <c r="B519" s="99"/>
      <c r="C519" s="36">
        <v>5</v>
      </c>
      <c r="D519" s="137">
        <v>125</v>
      </c>
      <c r="E519" s="38" t="s">
        <v>5542</v>
      </c>
      <c r="F519" s="34" t="str">
        <f>IFERROR(_xlfn.XLOOKUP(E519,Index!$A:$A,Index!$B:$B),"")</f>
        <v/>
      </c>
    </row>
    <row r="520" spans="1:6" x14ac:dyDescent="0.25">
      <c r="A520" s="99"/>
      <c r="B520" s="99"/>
      <c r="C520" s="36">
        <v>6</v>
      </c>
      <c r="D520" s="137">
        <v>150</v>
      </c>
      <c r="E520" s="38" t="s">
        <v>2917</v>
      </c>
      <c r="F520" s="34">
        <f>IFERROR(_xlfn.XLOOKUP(E520,Index!$A:$A,Index!$B:$B),"")</f>
        <v>332.5</v>
      </c>
    </row>
    <row r="521" spans="1:6" x14ac:dyDescent="0.25">
      <c r="A521" s="99"/>
      <c r="B521" s="99"/>
      <c r="C521" s="36">
        <v>8</v>
      </c>
      <c r="D521" s="137">
        <v>200</v>
      </c>
      <c r="E521" s="38" t="s">
        <v>2921</v>
      </c>
      <c r="F521" s="34">
        <f>IFERROR(_xlfn.XLOOKUP(E521,Index!$A:$A,Index!$B:$B),"")</f>
        <v>498.5</v>
      </c>
    </row>
    <row r="522" spans="1:6" x14ac:dyDescent="0.25">
      <c r="A522" s="99"/>
      <c r="B522" s="99"/>
      <c r="C522" s="36">
        <v>10</v>
      </c>
      <c r="D522" s="137">
        <v>250</v>
      </c>
      <c r="E522" s="38" t="s">
        <v>2924</v>
      </c>
      <c r="F522" s="34">
        <f>IFERROR(_xlfn.XLOOKUP(E522,Index!$A:$A,Index!$B:$B),"")</f>
        <v>498.5</v>
      </c>
    </row>
    <row r="523" spans="1:6" x14ac:dyDescent="0.25">
      <c r="A523" s="99"/>
      <c r="B523" s="99"/>
      <c r="C523" s="36">
        <v>12</v>
      </c>
      <c r="D523" s="137">
        <v>300</v>
      </c>
      <c r="E523" s="38" t="s">
        <v>2928</v>
      </c>
      <c r="F523" s="34">
        <f>IFERROR(_xlfn.XLOOKUP(E523,Index!$A:$A,Index!$B:$B),"")</f>
        <v>914</v>
      </c>
    </row>
    <row r="524" spans="1:6" x14ac:dyDescent="0.25">
      <c r="A524" s="132"/>
      <c r="B524" s="146" t="s">
        <v>5574</v>
      </c>
      <c r="C524" s="36">
        <v>2</v>
      </c>
      <c r="D524" s="137">
        <v>50</v>
      </c>
      <c r="E524" s="38" t="s">
        <v>2936</v>
      </c>
      <c r="F524" s="34">
        <f>IFERROR(_xlfn.XLOOKUP(E524,Index!$A:$A,Index!$B:$B),"")</f>
        <v>83.25</v>
      </c>
    </row>
    <row r="525" spans="1:6" x14ac:dyDescent="0.25">
      <c r="A525" s="99"/>
      <c r="B525" s="144"/>
      <c r="C525" s="64" t="s">
        <v>231</v>
      </c>
      <c r="D525" s="137">
        <v>65</v>
      </c>
      <c r="E525" s="38" t="s">
        <v>5542</v>
      </c>
      <c r="F525" s="34" t="str">
        <f>IFERROR(_xlfn.XLOOKUP(E525,Index!$A:$A,Index!$B:$B),"")</f>
        <v/>
      </c>
    </row>
    <row r="526" spans="1:6" x14ac:dyDescent="0.25">
      <c r="A526" s="99"/>
      <c r="B526" s="99"/>
      <c r="C526" s="36">
        <v>3</v>
      </c>
      <c r="D526" s="137">
        <v>80</v>
      </c>
      <c r="E526" s="38" t="s">
        <v>2939</v>
      </c>
      <c r="F526" s="34">
        <f>IFERROR(_xlfn.XLOOKUP(E526,Index!$A:$A,Index!$B:$B),"")</f>
        <v>83.25</v>
      </c>
    </row>
    <row r="527" spans="1:6" x14ac:dyDescent="0.25">
      <c r="A527" s="99"/>
      <c r="B527" s="99"/>
      <c r="C527" s="36">
        <v>4</v>
      </c>
      <c r="D527" s="137">
        <v>100</v>
      </c>
      <c r="E527" s="38" t="s">
        <v>2941</v>
      </c>
      <c r="F527" s="34">
        <f>IFERROR(_xlfn.XLOOKUP(E527,Index!$A:$A,Index!$B:$B),"")</f>
        <v>83.25</v>
      </c>
    </row>
    <row r="528" spans="1:6" x14ac:dyDescent="0.25">
      <c r="A528" s="99"/>
      <c r="B528" s="99"/>
      <c r="C528" s="36">
        <v>5</v>
      </c>
      <c r="D528" s="137">
        <v>125</v>
      </c>
      <c r="E528" s="38" t="s">
        <v>5542</v>
      </c>
      <c r="F528" s="34" t="str">
        <f>IFERROR(_xlfn.XLOOKUP(E528,Index!$A:$A,Index!$B:$B),"")</f>
        <v/>
      </c>
    </row>
    <row r="529" spans="1:6" x14ac:dyDescent="0.25">
      <c r="A529" s="99"/>
      <c r="B529" s="99"/>
      <c r="C529" s="36">
        <v>6</v>
      </c>
      <c r="D529" s="137">
        <v>150</v>
      </c>
      <c r="E529" s="38" t="s">
        <v>2947</v>
      </c>
      <c r="F529" s="34">
        <f>IFERROR(_xlfn.XLOOKUP(E529,Index!$A:$A,Index!$B:$B),"")</f>
        <v>125</v>
      </c>
    </row>
    <row r="530" spans="1:6" x14ac:dyDescent="0.25">
      <c r="A530" s="99"/>
      <c r="B530" s="99"/>
      <c r="C530" s="36">
        <v>8</v>
      </c>
      <c r="D530" s="137">
        <v>200</v>
      </c>
      <c r="E530" s="38" t="s">
        <v>2949</v>
      </c>
      <c r="F530" s="34">
        <f>IFERROR(_xlfn.XLOOKUP(E530,Index!$A:$A,Index!$B:$B),"")</f>
        <v>125</v>
      </c>
    </row>
    <row r="531" spans="1:6" x14ac:dyDescent="0.25">
      <c r="A531" s="99"/>
      <c r="B531" s="99"/>
      <c r="C531" s="36">
        <v>10</v>
      </c>
      <c r="D531" s="137">
        <v>250</v>
      </c>
      <c r="E531" s="38" t="s">
        <v>2952</v>
      </c>
      <c r="F531" s="34">
        <f>IFERROR(_xlfn.XLOOKUP(E531,Index!$A:$A,Index!$B:$B),"")</f>
        <v>1107</v>
      </c>
    </row>
    <row r="532" spans="1:6" x14ac:dyDescent="0.25">
      <c r="A532" s="99"/>
      <c r="B532" s="99"/>
      <c r="C532" s="36">
        <v>12</v>
      </c>
      <c r="D532" s="137">
        <v>300</v>
      </c>
      <c r="E532" s="38" t="s">
        <v>2994</v>
      </c>
      <c r="F532" s="34">
        <f>IFERROR(_xlfn.XLOOKUP(E532,Index!$A:$A,Index!$B:$B),"")</f>
        <v>291.5</v>
      </c>
    </row>
    <row r="533" spans="1:6" x14ac:dyDescent="0.25">
      <c r="A533" s="132"/>
      <c r="B533" s="146" t="s">
        <v>5575</v>
      </c>
      <c r="C533" s="36">
        <v>2</v>
      </c>
      <c r="D533" s="137">
        <v>50</v>
      </c>
      <c r="E533" s="38" t="s">
        <v>2893</v>
      </c>
      <c r="F533" s="34">
        <f>IFERROR(_xlfn.XLOOKUP(E533,Index!$A:$A,Index!$B:$B),"")</f>
        <v>209</v>
      </c>
    </row>
    <row r="534" spans="1:6" x14ac:dyDescent="0.25">
      <c r="A534" s="99"/>
      <c r="B534" s="144"/>
      <c r="C534" s="64" t="s">
        <v>231</v>
      </c>
      <c r="D534" s="137">
        <v>65</v>
      </c>
      <c r="E534" s="38" t="s">
        <v>5542</v>
      </c>
      <c r="F534" s="34" t="str">
        <f>IFERROR(_xlfn.XLOOKUP(E534,Index!$A:$A,Index!$B:$B),"")</f>
        <v/>
      </c>
    </row>
    <row r="535" spans="1:6" x14ac:dyDescent="0.25">
      <c r="A535" s="99"/>
      <c r="B535" s="99"/>
      <c r="C535" s="36">
        <v>3</v>
      </c>
      <c r="D535" s="137">
        <v>80</v>
      </c>
      <c r="E535" s="38" t="s">
        <v>2903</v>
      </c>
      <c r="F535" s="34">
        <f>IFERROR(_xlfn.XLOOKUP(E535,Index!$A:$A,Index!$B:$B),"")</f>
        <v>209</v>
      </c>
    </row>
    <row r="536" spans="1:6" x14ac:dyDescent="0.25">
      <c r="A536" s="99"/>
      <c r="B536" s="99"/>
      <c r="C536" s="36">
        <v>4</v>
      </c>
      <c r="D536" s="137">
        <v>100</v>
      </c>
      <c r="E536" s="38" t="s">
        <v>2905</v>
      </c>
      <c r="F536" s="34">
        <f>IFERROR(_xlfn.XLOOKUP(E536,Index!$A:$A,Index!$B:$B),"")</f>
        <v>209</v>
      </c>
    </row>
    <row r="537" spans="1:6" x14ac:dyDescent="0.25">
      <c r="A537" s="99"/>
      <c r="B537" s="99"/>
      <c r="C537" s="36">
        <v>5</v>
      </c>
      <c r="D537" s="137">
        <v>125</v>
      </c>
      <c r="E537" s="38" t="s">
        <v>5542</v>
      </c>
      <c r="F537" s="34" t="str">
        <f>IFERROR(_xlfn.XLOOKUP(E537,Index!$A:$A,Index!$B:$B),"")</f>
        <v/>
      </c>
    </row>
    <row r="538" spans="1:6" x14ac:dyDescent="0.25">
      <c r="A538" s="99"/>
      <c r="B538" s="99"/>
      <c r="C538" s="36">
        <v>6</v>
      </c>
      <c r="D538" s="137">
        <v>150</v>
      </c>
      <c r="E538" s="38" t="s">
        <v>2915</v>
      </c>
      <c r="F538" s="34">
        <f>IFERROR(_xlfn.XLOOKUP(E538,Index!$A:$A,Index!$B:$B),"")</f>
        <v>250</v>
      </c>
    </row>
    <row r="539" spans="1:6" x14ac:dyDescent="0.25">
      <c r="A539" s="99"/>
      <c r="B539" s="99"/>
      <c r="C539" s="36">
        <v>8</v>
      </c>
      <c r="D539" s="137">
        <v>200</v>
      </c>
      <c r="E539" s="38" t="s">
        <v>2920</v>
      </c>
      <c r="F539" s="34">
        <f>IFERROR(_xlfn.XLOOKUP(E539,Index!$A:$A,Index!$B:$B),"")</f>
        <v>250</v>
      </c>
    </row>
    <row r="540" spans="1:6" x14ac:dyDescent="0.25">
      <c r="A540" s="99"/>
      <c r="B540" s="99"/>
      <c r="C540" s="36">
        <v>10</v>
      </c>
      <c r="D540" s="137">
        <v>250</v>
      </c>
      <c r="E540" s="38" t="s">
        <v>2926</v>
      </c>
      <c r="F540" s="34">
        <f>IFERROR(_xlfn.XLOOKUP(E540,Index!$A:$A,Index!$B:$B),"")</f>
        <v>541</v>
      </c>
    </row>
    <row r="541" spans="1:6" x14ac:dyDescent="0.25">
      <c r="A541" s="99"/>
      <c r="B541" s="99"/>
      <c r="C541" s="36">
        <v>12</v>
      </c>
      <c r="D541" s="137">
        <v>300</v>
      </c>
      <c r="E541" s="38" t="s">
        <v>2930</v>
      </c>
      <c r="F541" s="34">
        <f>IFERROR(_xlfn.XLOOKUP(E541,Index!$A:$A,Index!$B:$B),"")</f>
        <v>541</v>
      </c>
    </row>
    <row r="542" spans="1:6" x14ac:dyDescent="0.25">
      <c r="A542" s="132"/>
      <c r="B542" s="146" t="s">
        <v>5576</v>
      </c>
      <c r="C542" s="36">
        <v>2</v>
      </c>
      <c r="D542" s="137">
        <v>50</v>
      </c>
      <c r="E542" s="38" t="s">
        <v>2937</v>
      </c>
      <c r="F542" s="34">
        <f>IFERROR(_xlfn.XLOOKUP(E542,Index!$A:$A,Index!$B:$B),"")</f>
        <v>20</v>
      </c>
    </row>
    <row r="543" spans="1:6" x14ac:dyDescent="0.25">
      <c r="A543" s="99"/>
      <c r="B543" s="144"/>
      <c r="C543" s="64" t="s">
        <v>231</v>
      </c>
      <c r="D543" s="137">
        <v>65</v>
      </c>
      <c r="E543" s="38" t="s">
        <v>5542</v>
      </c>
      <c r="F543" s="34" t="str">
        <f>IFERROR(_xlfn.XLOOKUP(E543,Index!$A:$A,Index!$B:$B),"")</f>
        <v/>
      </c>
    </row>
    <row r="544" spans="1:6" x14ac:dyDescent="0.25">
      <c r="A544" s="99"/>
      <c r="B544" s="99"/>
      <c r="C544" s="36">
        <v>3</v>
      </c>
      <c r="D544" s="137">
        <v>80</v>
      </c>
      <c r="E544" s="38" t="s">
        <v>2940</v>
      </c>
      <c r="F544" s="34">
        <f>IFERROR(_xlfn.XLOOKUP(E544,Index!$A:$A,Index!$B:$B),"")</f>
        <v>20</v>
      </c>
    </row>
    <row r="545" spans="1:6" x14ac:dyDescent="0.25">
      <c r="A545" s="99"/>
      <c r="B545" s="99"/>
      <c r="C545" s="36">
        <v>4</v>
      </c>
      <c r="D545" s="137">
        <v>100</v>
      </c>
      <c r="E545" s="38" t="s">
        <v>2942</v>
      </c>
      <c r="F545" s="34">
        <f>IFERROR(_xlfn.XLOOKUP(E545,Index!$A:$A,Index!$B:$B),"")</f>
        <v>20</v>
      </c>
    </row>
    <row r="546" spans="1:6" x14ac:dyDescent="0.25">
      <c r="A546" s="99"/>
      <c r="B546" s="99"/>
      <c r="C546" s="36">
        <v>5</v>
      </c>
      <c r="D546" s="137">
        <v>125</v>
      </c>
      <c r="E546" s="38" t="s">
        <v>5542</v>
      </c>
      <c r="F546" s="34" t="str">
        <f>IFERROR(_xlfn.XLOOKUP(E546,Index!$A:$A,Index!$B:$B),"")</f>
        <v/>
      </c>
    </row>
    <row r="547" spans="1:6" x14ac:dyDescent="0.25">
      <c r="A547" s="99"/>
      <c r="B547" s="99"/>
      <c r="C547" s="36">
        <v>6</v>
      </c>
      <c r="D547" s="137">
        <v>150</v>
      </c>
      <c r="E547" s="38" t="s">
        <v>2945</v>
      </c>
      <c r="F547" s="34">
        <f>IFERROR(_xlfn.XLOOKUP(E547,Index!$A:$A,Index!$B:$B),"")</f>
        <v>20</v>
      </c>
    </row>
    <row r="548" spans="1:6" x14ac:dyDescent="0.25">
      <c r="A548" s="99"/>
      <c r="B548" s="99"/>
      <c r="C548" s="36">
        <v>8</v>
      </c>
      <c r="D548" s="137">
        <v>200</v>
      </c>
      <c r="E548" s="38" t="s">
        <v>2950</v>
      </c>
      <c r="F548" s="34">
        <f>IFERROR(_xlfn.XLOOKUP(E548,Index!$A:$A,Index!$B:$B),"")</f>
        <v>20</v>
      </c>
    </row>
    <row r="549" spans="1:6" x14ac:dyDescent="0.25">
      <c r="A549" s="99"/>
      <c r="B549" s="99"/>
      <c r="C549" s="36">
        <v>10</v>
      </c>
      <c r="D549" s="137">
        <v>250</v>
      </c>
      <c r="E549" s="38" t="s">
        <v>2950</v>
      </c>
      <c r="F549" s="34">
        <f>IFERROR(_xlfn.XLOOKUP(E549,Index!$A:$A,Index!$B:$B),"")</f>
        <v>20</v>
      </c>
    </row>
    <row r="550" spans="1:6" x14ac:dyDescent="0.25">
      <c r="A550" s="121"/>
      <c r="B550" s="121"/>
      <c r="C550" s="36">
        <v>12</v>
      </c>
      <c r="D550" s="137">
        <v>300</v>
      </c>
      <c r="E550" s="38" t="s">
        <v>2950</v>
      </c>
      <c r="F550" s="34">
        <f>IFERROR(_xlfn.XLOOKUP(E550,Index!$A:$A,Index!$B:$B),"")</f>
        <v>20</v>
      </c>
    </row>
  </sheetData>
  <mergeCells count="20">
    <mergeCell ref="E4:F4"/>
    <mergeCell ref="C4:D4"/>
    <mergeCell ref="D312:E312"/>
    <mergeCell ref="B312:C312"/>
    <mergeCell ref="D364:E364"/>
    <mergeCell ref="B364:C364"/>
    <mergeCell ref="C20:D20"/>
    <mergeCell ref="J22:L23"/>
    <mergeCell ref="C90:D90"/>
    <mergeCell ref="C134:D134"/>
    <mergeCell ref="C198:D198"/>
    <mergeCell ref="C324:D324"/>
    <mergeCell ref="C377:D377"/>
    <mergeCell ref="C441:D441"/>
    <mergeCell ref="C504:D504"/>
    <mergeCell ref="C262:D262"/>
    <mergeCell ref="D427:E427"/>
    <mergeCell ref="B427:C427"/>
    <mergeCell ref="D491:E491"/>
    <mergeCell ref="B491:C491"/>
  </mergeCells>
  <conditionalFormatting sqref="C365:C373 C428:C437 C492:C500">
    <cfRule type="expression" dxfId="184" priority="141">
      <formula>C365="Not a valid item #"</formula>
    </cfRule>
    <cfRule type="expression" dxfId="183" priority="142">
      <formula>C365="Not in NPSLS"</formula>
    </cfRule>
    <cfRule type="expression" dxfId="182" priority="143">
      <formula>C365="Obsolete"</formula>
    </cfRule>
    <cfRule type="expression" dxfId="181" priority="144">
      <formula>C365=""</formula>
    </cfRule>
    <cfRule type="expression" dxfId="180" priority="145">
      <formula>C365="List Price"</formula>
    </cfRule>
  </conditionalFormatting>
  <conditionalFormatting sqref="D5:D16 C17">
    <cfRule type="expression" dxfId="179" priority="221">
      <formula>C5="Not a valid item #"</formula>
    </cfRule>
    <cfRule type="expression" dxfId="178" priority="222">
      <formula>C5="Not in NPSLS"</formula>
    </cfRule>
    <cfRule type="expression" dxfId="177" priority="223">
      <formula>C5="Obsolete"</formula>
    </cfRule>
    <cfRule type="expression" dxfId="176" priority="224">
      <formula>C5=""</formula>
    </cfRule>
    <cfRule type="expression" dxfId="175" priority="225">
      <formula>C5="List Price"</formula>
    </cfRule>
  </conditionalFormatting>
  <conditionalFormatting sqref="D21:D76 D135:D180">
    <cfRule type="expression" dxfId="174" priority="161">
      <formula>D21="Not a valid item #"</formula>
    </cfRule>
    <cfRule type="expression" dxfId="173" priority="162">
      <formula>D21="Not in NPSLS"</formula>
    </cfRule>
    <cfRule type="expression" dxfId="172" priority="163">
      <formula>D21="Obsolete"</formula>
    </cfRule>
    <cfRule type="expression" dxfId="171" priority="164">
      <formula>D21=""</formula>
    </cfRule>
    <cfRule type="expression" dxfId="170" priority="165">
      <formula>D21="List Price"</formula>
    </cfRule>
  </conditionalFormatting>
  <conditionalFormatting sqref="D81:D86 D91:D116 C313:C320 D325:D360">
    <cfRule type="expression" dxfId="169" priority="151">
      <formula>C81="Not a valid item #"</formula>
    </cfRule>
    <cfRule type="expression" dxfId="168" priority="152">
      <formula>C81="Not in NPSLS"</formula>
    </cfRule>
    <cfRule type="expression" dxfId="167" priority="153">
      <formula>C81="Obsolete"</formula>
    </cfRule>
    <cfRule type="expression" dxfId="166" priority="154">
      <formula>C81=""</formula>
    </cfRule>
    <cfRule type="expression" dxfId="165" priority="155">
      <formula>C81="List Price"</formula>
    </cfRule>
  </conditionalFormatting>
  <conditionalFormatting sqref="D121:D130">
    <cfRule type="expression" dxfId="164" priority="201">
      <formula>D121="Not a valid item #"</formula>
    </cfRule>
    <cfRule type="expression" dxfId="163" priority="202">
      <formula>D121="Not in NPSLS"</formula>
    </cfRule>
    <cfRule type="expression" dxfId="162" priority="203">
      <formula>D121="Obsolete"</formula>
    </cfRule>
    <cfRule type="expression" dxfId="161" priority="204">
      <formula>D121=""</formula>
    </cfRule>
    <cfRule type="expression" dxfId="160" priority="205">
      <formula>D121="List Price"</formula>
    </cfRule>
  </conditionalFormatting>
  <conditionalFormatting sqref="D185:D194">
    <cfRule type="expression" dxfId="159" priority="191">
      <formula>D185="Not a valid item #"</formula>
    </cfRule>
    <cfRule type="expression" dxfId="158" priority="192">
      <formula>D185="Not in NPSLS"</formula>
    </cfRule>
    <cfRule type="expression" dxfId="157" priority="193">
      <formula>D185="Obsolete"</formula>
    </cfRule>
    <cfRule type="expression" dxfId="156" priority="194">
      <formula>D185=""</formula>
    </cfRule>
    <cfRule type="expression" dxfId="155" priority="195">
      <formula>D185="List Price"</formula>
    </cfRule>
  </conditionalFormatting>
  <conditionalFormatting sqref="D199:D245">
    <cfRule type="expression" dxfId="154" priority="86">
      <formula>D199="Not a valid item #"</formula>
    </cfRule>
    <cfRule type="expression" dxfId="153" priority="87">
      <formula>D199="Not in NPSLS"</formula>
    </cfRule>
    <cfRule type="expression" dxfId="152" priority="88">
      <formula>D199="Obsolete"</formula>
    </cfRule>
    <cfRule type="expression" dxfId="151" priority="89">
      <formula>D199=""</formula>
    </cfRule>
    <cfRule type="expression" dxfId="150" priority="90">
      <formula>D199="List Price"</formula>
    </cfRule>
  </conditionalFormatting>
  <conditionalFormatting sqref="D249:D258">
    <cfRule type="expression" dxfId="149" priority="171">
      <formula>D249="Not a valid item #"</formula>
    </cfRule>
    <cfRule type="expression" dxfId="148" priority="172">
      <formula>D249="Not in NPSLS"</formula>
    </cfRule>
    <cfRule type="expression" dxfId="147" priority="173">
      <formula>D249="Obsolete"</formula>
    </cfRule>
    <cfRule type="expression" dxfId="146" priority="174">
      <formula>D249=""</formula>
    </cfRule>
    <cfRule type="expression" dxfId="145" priority="175">
      <formula>D249="List Price"</formula>
    </cfRule>
  </conditionalFormatting>
  <conditionalFormatting sqref="D263:D308">
    <cfRule type="expression" dxfId="144" priority="1">
      <formula>D263="Not a valid item #"</formula>
    </cfRule>
    <cfRule type="expression" dxfId="143" priority="2">
      <formula>D263="Not in NPSLS"</formula>
    </cfRule>
    <cfRule type="expression" dxfId="142" priority="3">
      <formula>D263="Obsolete"</formula>
    </cfRule>
    <cfRule type="expression" dxfId="141" priority="4">
      <formula>D263=""</formula>
    </cfRule>
    <cfRule type="expression" dxfId="140" priority="5">
      <formula>D263="List Price"</formula>
    </cfRule>
  </conditionalFormatting>
  <conditionalFormatting sqref="D378:D423">
    <cfRule type="expression" dxfId="139" priority="16">
      <formula>D378="Not a valid item #"</formula>
    </cfRule>
    <cfRule type="expression" dxfId="138" priority="17">
      <formula>D378="Not in NPSLS"</formula>
    </cfRule>
    <cfRule type="expression" dxfId="137" priority="18">
      <formula>D378="Obsolete"</formula>
    </cfRule>
    <cfRule type="expression" dxfId="136" priority="19">
      <formula>D378=""</formula>
    </cfRule>
    <cfRule type="expression" dxfId="135" priority="20">
      <formula>D378="List Price"</formula>
    </cfRule>
  </conditionalFormatting>
  <conditionalFormatting sqref="D442:D487">
    <cfRule type="expression" dxfId="134" priority="11">
      <formula>D442="Not a valid item #"</formula>
    </cfRule>
    <cfRule type="expression" dxfId="133" priority="12">
      <formula>D442="Not in NPSLS"</formula>
    </cfRule>
    <cfRule type="expression" dxfId="132" priority="13">
      <formula>D442="Obsolete"</formula>
    </cfRule>
    <cfRule type="expression" dxfId="131" priority="14">
      <formula>D442=""</formula>
    </cfRule>
    <cfRule type="expression" dxfId="130" priority="15">
      <formula>D442="List Price"</formula>
    </cfRule>
  </conditionalFormatting>
  <conditionalFormatting sqref="D505:D550">
    <cfRule type="expression" dxfId="129" priority="6">
      <formula>D505="Not a valid item #"</formula>
    </cfRule>
    <cfRule type="expression" dxfId="128" priority="7">
      <formula>D505="Not in NPSLS"</formula>
    </cfRule>
    <cfRule type="expression" dxfId="127" priority="8">
      <formula>D505="Obsolete"</formula>
    </cfRule>
    <cfRule type="expression" dxfId="126" priority="9">
      <formula>D505=""</formula>
    </cfRule>
    <cfRule type="expression" dxfId="125" priority="10">
      <formula>D505="List Price"</formula>
    </cfRule>
  </conditionalFormatting>
  <conditionalFormatting sqref="H2:H3">
    <cfRule type="expression" dxfId="124" priority="226">
      <formula>H2="Not a valid item #"</formula>
    </cfRule>
    <cfRule type="expression" dxfId="123" priority="227">
      <formula>H2="Not in NPSLS"</formula>
    </cfRule>
    <cfRule type="expression" dxfId="122" priority="228">
      <formula>H2="Obsolete"</formula>
    </cfRule>
    <cfRule type="expression" dxfId="121" priority="229">
      <formula>H2=""</formula>
    </cfRule>
    <cfRule type="expression" dxfId="120" priority="230">
      <formula>H2="List Price"</formula>
    </cfRule>
  </conditionalFormatting>
  <conditionalFormatting sqref="H18:H19">
    <cfRule type="expression" dxfId="119" priority="121">
      <formula>H18="Not a valid item #"</formula>
    </cfRule>
    <cfRule type="expression" dxfId="118" priority="122">
      <formula>H18="Not in NPSLS"</formula>
    </cfRule>
    <cfRule type="expression" dxfId="117" priority="123">
      <formula>H18="Obsolete"</formula>
    </cfRule>
    <cfRule type="expression" dxfId="116" priority="124">
      <formula>H18=""</formula>
    </cfRule>
    <cfRule type="expression" dxfId="115" priority="125">
      <formula>H18="List Price"</formula>
    </cfRule>
  </conditionalFormatting>
  <conditionalFormatting sqref="H78:H79">
    <cfRule type="expression" dxfId="114" priority="216">
      <formula>H78="Not a valid item #"</formula>
    </cfRule>
    <cfRule type="expression" dxfId="113" priority="217">
      <formula>H78="Not in NPSLS"</formula>
    </cfRule>
    <cfRule type="expression" dxfId="112" priority="218">
      <formula>H78="Obsolete"</formula>
    </cfRule>
    <cfRule type="expression" dxfId="111" priority="219">
      <formula>H78=""</formula>
    </cfRule>
    <cfRule type="expression" dxfId="110" priority="220">
      <formula>H78="List Price"</formula>
    </cfRule>
  </conditionalFormatting>
  <conditionalFormatting sqref="H88:H89">
    <cfRule type="expression" dxfId="109" priority="111">
      <formula>H88="Not a valid item #"</formula>
    </cfRule>
    <cfRule type="expression" dxfId="108" priority="112">
      <formula>H88="Not in NPSLS"</formula>
    </cfRule>
    <cfRule type="expression" dxfId="107" priority="113">
      <formula>H88="Obsolete"</formula>
    </cfRule>
    <cfRule type="expression" dxfId="106" priority="114">
      <formula>H88=""</formula>
    </cfRule>
    <cfRule type="expression" dxfId="105" priority="115">
      <formula>H88="List Price"</formula>
    </cfRule>
  </conditionalFormatting>
  <conditionalFormatting sqref="H118:H119">
    <cfRule type="expression" dxfId="104" priority="206">
      <formula>H118="Not a valid item #"</formula>
    </cfRule>
    <cfRule type="expression" dxfId="103" priority="207">
      <formula>H118="Not in NPSLS"</formula>
    </cfRule>
    <cfRule type="expression" dxfId="102" priority="208">
      <formula>H118="Obsolete"</formula>
    </cfRule>
    <cfRule type="expression" dxfId="101" priority="209">
      <formula>H118=""</formula>
    </cfRule>
    <cfRule type="expression" dxfId="100" priority="210">
      <formula>H118="List Price"</formula>
    </cfRule>
  </conditionalFormatting>
  <conditionalFormatting sqref="H132:H133">
    <cfRule type="expression" dxfId="99" priority="101">
      <formula>H132="Not a valid item #"</formula>
    </cfRule>
    <cfRule type="expression" dxfId="98" priority="102">
      <formula>H132="Not in NPSLS"</formula>
    </cfRule>
    <cfRule type="expression" dxfId="97" priority="103">
      <formula>H132="Obsolete"</formula>
    </cfRule>
    <cfRule type="expression" dxfId="96" priority="104">
      <formula>H132=""</formula>
    </cfRule>
    <cfRule type="expression" dxfId="95" priority="105">
      <formula>H132="List Price"</formula>
    </cfRule>
  </conditionalFormatting>
  <conditionalFormatting sqref="H182:H183">
    <cfRule type="expression" dxfId="94" priority="196">
      <formula>H182="Not a valid item #"</formula>
    </cfRule>
    <cfRule type="expression" dxfId="93" priority="197">
      <formula>H182="Not in NPSLS"</formula>
    </cfRule>
    <cfRule type="expression" dxfId="92" priority="198">
      <formula>H182="Obsolete"</formula>
    </cfRule>
    <cfRule type="expression" dxfId="91" priority="199">
      <formula>H182=""</formula>
    </cfRule>
    <cfRule type="expression" dxfId="90" priority="200">
      <formula>H182="List Price"</formula>
    </cfRule>
  </conditionalFormatting>
  <conditionalFormatting sqref="H196:H197">
    <cfRule type="expression" dxfId="89" priority="91">
      <formula>H196="Not a valid item #"</formula>
    </cfRule>
    <cfRule type="expression" dxfId="88" priority="92">
      <formula>H196="Not in NPSLS"</formula>
    </cfRule>
    <cfRule type="expression" dxfId="87" priority="93">
      <formula>H196="Obsolete"</formula>
    </cfRule>
    <cfRule type="expression" dxfId="86" priority="94">
      <formula>H196=""</formula>
    </cfRule>
    <cfRule type="expression" dxfId="85" priority="95">
      <formula>H196="List Price"</formula>
    </cfRule>
  </conditionalFormatting>
  <conditionalFormatting sqref="H246:H247">
    <cfRule type="expression" dxfId="84" priority="176">
      <formula>H246="Not a valid item #"</formula>
    </cfRule>
    <cfRule type="expression" dxfId="83" priority="177">
      <formula>H246="Not in NPSLS"</formula>
    </cfRule>
    <cfRule type="expression" dxfId="82" priority="178">
      <formula>H246="Obsolete"</formula>
    </cfRule>
    <cfRule type="expression" dxfId="81" priority="179">
      <formula>H246=""</formula>
    </cfRule>
    <cfRule type="expression" dxfId="80" priority="180">
      <formula>H246="List Price"</formula>
    </cfRule>
  </conditionalFormatting>
  <conditionalFormatting sqref="H260:H261">
    <cfRule type="expression" dxfId="79" priority="71">
      <formula>H260="Not a valid item #"</formula>
    </cfRule>
    <cfRule type="expression" dxfId="78" priority="72">
      <formula>H260="Not in NPSLS"</formula>
    </cfRule>
    <cfRule type="expression" dxfId="77" priority="73">
      <formula>H260="Obsolete"</formula>
    </cfRule>
    <cfRule type="expression" dxfId="76" priority="74">
      <formula>H260=""</formula>
    </cfRule>
    <cfRule type="expression" dxfId="75" priority="75">
      <formula>H260="List Price"</formula>
    </cfRule>
  </conditionalFormatting>
  <conditionalFormatting sqref="H310:H311">
    <cfRule type="expression" dxfId="74" priority="166">
      <formula>H310="Not a valid item #"</formula>
    </cfRule>
    <cfRule type="expression" dxfId="73" priority="167">
      <formula>H310="Not in NPSLS"</formula>
    </cfRule>
    <cfRule type="expression" dxfId="72" priority="168">
      <formula>H310="Obsolete"</formula>
    </cfRule>
    <cfRule type="expression" dxfId="71" priority="169">
      <formula>H310=""</formula>
    </cfRule>
    <cfRule type="expression" dxfId="70" priority="170">
      <formula>H310="List Price"</formula>
    </cfRule>
  </conditionalFormatting>
  <conditionalFormatting sqref="H322:H323">
    <cfRule type="expression" dxfId="69" priority="61">
      <formula>H322="Not a valid item #"</formula>
    </cfRule>
    <cfRule type="expression" dxfId="68" priority="62">
      <formula>H322="Not in NPSLS"</formula>
    </cfRule>
    <cfRule type="expression" dxfId="67" priority="63">
      <formula>H322="Obsolete"</formula>
    </cfRule>
    <cfRule type="expression" dxfId="66" priority="64">
      <formula>H322=""</formula>
    </cfRule>
    <cfRule type="expression" dxfId="65" priority="65">
      <formula>H322="List Price"</formula>
    </cfRule>
  </conditionalFormatting>
  <conditionalFormatting sqref="H362:H363">
    <cfRule type="expression" dxfId="64" priority="156">
      <formula>H362="Not a valid item #"</formula>
    </cfRule>
    <cfRule type="expression" dxfId="63" priority="157">
      <formula>H362="Not in NPSLS"</formula>
    </cfRule>
    <cfRule type="expression" dxfId="62" priority="158">
      <formula>H362="Obsolete"</formula>
    </cfRule>
    <cfRule type="expression" dxfId="61" priority="159">
      <formula>H362=""</formula>
    </cfRule>
    <cfRule type="expression" dxfId="60" priority="160">
      <formula>H362="List Price"</formula>
    </cfRule>
  </conditionalFormatting>
  <conditionalFormatting sqref="H375:H376">
    <cfRule type="expression" dxfId="59" priority="51">
      <formula>H375="Not a valid item #"</formula>
    </cfRule>
    <cfRule type="expression" dxfId="58" priority="52">
      <formula>H375="Not in NPSLS"</formula>
    </cfRule>
    <cfRule type="expression" dxfId="57" priority="53">
      <formula>H375="Obsolete"</formula>
    </cfRule>
    <cfRule type="expression" dxfId="56" priority="54">
      <formula>H375=""</formula>
    </cfRule>
    <cfRule type="expression" dxfId="55" priority="55">
      <formula>H375="List Price"</formula>
    </cfRule>
  </conditionalFormatting>
  <conditionalFormatting sqref="H425:H426">
    <cfRule type="expression" dxfId="54" priority="146">
      <formula>H425="Not a valid item #"</formula>
    </cfRule>
    <cfRule type="expression" dxfId="53" priority="147">
      <formula>H425="Not in NPSLS"</formula>
    </cfRule>
    <cfRule type="expression" dxfId="52" priority="148">
      <formula>H425="Obsolete"</formula>
    </cfRule>
    <cfRule type="expression" dxfId="51" priority="149">
      <formula>H425=""</formula>
    </cfRule>
    <cfRule type="expression" dxfId="50" priority="150">
      <formula>H425="List Price"</formula>
    </cfRule>
  </conditionalFormatting>
  <conditionalFormatting sqref="H439:H440">
    <cfRule type="expression" dxfId="49" priority="41">
      <formula>H439="Not a valid item #"</formula>
    </cfRule>
    <cfRule type="expression" dxfId="48" priority="42">
      <formula>H439="Not in NPSLS"</formula>
    </cfRule>
    <cfRule type="expression" dxfId="47" priority="43">
      <formula>H439="Obsolete"</formula>
    </cfRule>
    <cfRule type="expression" dxfId="46" priority="44">
      <formula>H439=""</formula>
    </cfRule>
    <cfRule type="expression" dxfId="45" priority="45">
      <formula>H439="List Price"</formula>
    </cfRule>
  </conditionalFormatting>
  <conditionalFormatting sqref="H489:H490">
    <cfRule type="expression" dxfId="44" priority="136">
      <formula>H489="Not a valid item #"</formula>
    </cfRule>
    <cfRule type="expression" dxfId="43" priority="137">
      <formula>H489="Not in NPSLS"</formula>
    </cfRule>
    <cfRule type="expression" dxfId="42" priority="138">
      <formula>H489="Obsolete"</formula>
    </cfRule>
    <cfRule type="expression" dxfId="41" priority="139">
      <formula>H489=""</formula>
    </cfRule>
    <cfRule type="expression" dxfId="40" priority="140">
      <formula>H489="List Price"</formula>
    </cfRule>
  </conditionalFormatting>
  <conditionalFormatting sqref="H502:H503">
    <cfRule type="expression" dxfId="39" priority="31">
      <formula>H502="Not a valid item #"</formula>
    </cfRule>
    <cfRule type="expression" dxfId="38" priority="32">
      <formula>H502="Not in NPSLS"</formula>
    </cfRule>
    <cfRule type="expression" dxfId="37" priority="33">
      <formula>H502="Obsolete"</formula>
    </cfRule>
    <cfRule type="expression" dxfId="36" priority="34">
      <formula>H502=""</formula>
    </cfRule>
    <cfRule type="expression" dxfId="35" priority="35">
      <formula>H502="List Price"</formula>
    </cfRule>
  </conditionalFormatting>
  <hyperlinks>
    <hyperlink ref="A1" location="'Table of Contents'!A1" display="Return Home" xr:uid="{8DCCDB63-56DA-44C0-8519-CCD1E4F3140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3BA-8FCF-4B17-8F38-8664949E1D96}">
  <sheetPr codeName="Sheet18"/>
  <dimension ref="A1:K126"/>
  <sheetViews>
    <sheetView showGridLines="0" topLeftCell="A75" zoomScale="90" zoomScaleNormal="90" workbookViewId="0">
      <selection activeCell="E107" sqref="E107"/>
    </sheetView>
  </sheetViews>
  <sheetFormatPr defaultRowHeight="15" x14ac:dyDescent="0.25"/>
  <cols>
    <col min="1" max="1" width="24.5703125" customWidth="1"/>
    <col min="2" max="2" width="16.42578125" customWidth="1"/>
    <col min="5" max="5" width="12.28515625" customWidth="1"/>
    <col min="6" max="6" width="12.140625" customWidth="1"/>
    <col min="7" max="7" width="10.140625" bestFit="1" customWidth="1"/>
    <col min="10" max="10" width="12.28515625" customWidth="1"/>
    <col min="11" max="11" width="12.5703125" customWidth="1"/>
    <col min="12" max="12" width="13" customWidth="1"/>
    <col min="13" max="13" width="11.28515625" bestFit="1" customWidth="1"/>
  </cols>
  <sheetData>
    <row r="1" spans="1:11" x14ac:dyDescent="0.25">
      <c r="A1" s="255" t="s">
        <v>5540</v>
      </c>
    </row>
    <row r="2" spans="1:11" ht="15.75" x14ac:dyDescent="0.25">
      <c r="A2" s="150" t="s">
        <v>2759</v>
      </c>
      <c r="B2" s="151" t="s">
        <v>647</v>
      </c>
      <c r="C2" s="152"/>
      <c r="D2" s="152"/>
      <c r="E2" s="152"/>
      <c r="F2" s="153"/>
      <c r="G2" s="154"/>
      <c r="H2" s="155"/>
      <c r="I2" s="156"/>
      <c r="J2" s="157"/>
      <c r="K2" s="157"/>
    </row>
    <row r="3" spans="1:11" ht="15.75" x14ac:dyDescent="0.25">
      <c r="A3" s="158" t="s">
        <v>2760</v>
      </c>
      <c r="B3" s="159"/>
      <c r="C3" s="160"/>
      <c r="D3" s="160"/>
      <c r="E3" s="160"/>
      <c r="F3" s="160"/>
      <c r="G3" s="161"/>
      <c r="H3" s="155"/>
      <c r="I3" s="160"/>
      <c r="J3" s="157"/>
      <c r="K3" s="157"/>
    </row>
    <row r="4" spans="1:11" x14ac:dyDescent="0.25">
      <c r="A4" s="162" t="s">
        <v>35</v>
      </c>
      <c r="B4" s="348" t="s">
        <v>2291</v>
      </c>
      <c r="C4" s="349"/>
      <c r="D4" s="349"/>
      <c r="E4" s="277" t="s">
        <v>2761</v>
      </c>
      <c r="F4" s="340" t="s">
        <v>38</v>
      </c>
      <c r="G4" s="343"/>
      <c r="H4" s="340" t="s">
        <v>39</v>
      </c>
      <c r="I4" s="343"/>
      <c r="J4" s="163" t="s">
        <v>40</v>
      </c>
      <c r="K4" s="164" t="s">
        <v>41</v>
      </c>
    </row>
    <row r="5" spans="1:11" x14ac:dyDescent="0.25">
      <c r="A5" s="165"/>
      <c r="B5" s="179" t="s">
        <v>2292</v>
      </c>
      <c r="C5" s="177" t="s">
        <v>2762</v>
      </c>
      <c r="D5" s="177" t="s">
        <v>2293</v>
      </c>
      <c r="E5" s="166" t="s">
        <v>44</v>
      </c>
      <c r="F5" s="166" t="s">
        <v>44</v>
      </c>
      <c r="G5" s="166" t="s">
        <v>45</v>
      </c>
      <c r="H5" s="166" t="s">
        <v>46</v>
      </c>
      <c r="I5" s="167" t="s">
        <v>47</v>
      </c>
      <c r="J5" s="166"/>
      <c r="K5" s="168"/>
    </row>
    <row r="6" spans="1:11" x14ac:dyDescent="0.25">
      <c r="A6" s="169" t="s">
        <v>2763</v>
      </c>
      <c r="B6" s="178" t="s">
        <v>2296</v>
      </c>
      <c r="C6" s="170" t="s">
        <v>2296</v>
      </c>
      <c r="D6" s="170" t="s">
        <v>2608</v>
      </c>
      <c r="E6" s="171" t="s">
        <v>2764</v>
      </c>
      <c r="F6" s="171">
        <v>2</v>
      </c>
      <c r="G6" s="172">
        <v>50</v>
      </c>
      <c r="H6" s="173">
        <v>15</v>
      </c>
      <c r="I6" s="174">
        <v>7</v>
      </c>
      <c r="J6" s="175" t="s">
        <v>2765</v>
      </c>
      <c r="K6" s="34">
        <f>IFERROR(_xlfn.XLOOKUP(J6,Index!$A:$A,Index!$B:$B),"")</f>
        <v>176.5</v>
      </c>
    </row>
    <row r="7" spans="1:11" x14ac:dyDescent="0.25">
      <c r="A7" s="124"/>
      <c r="B7" s="180"/>
      <c r="C7" s="124"/>
      <c r="D7" s="124"/>
      <c r="E7" s="171" t="s">
        <v>2764</v>
      </c>
      <c r="F7" s="171">
        <v>2.5</v>
      </c>
      <c r="G7" s="172">
        <v>65</v>
      </c>
      <c r="H7" s="173">
        <v>15</v>
      </c>
      <c r="I7" s="174">
        <v>7</v>
      </c>
      <c r="J7" s="175" t="s">
        <v>2766</v>
      </c>
      <c r="K7" s="34">
        <f>IFERROR(_xlfn.XLOOKUP(J7,Index!$A:$A,Index!$B:$B),"")</f>
        <v>213.5</v>
      </c>
    </row>
    <row r="8" spans="1:11" x14ac:dyDescent="0.25">
      <c r="A8" s="124"/>
      <c r="B8" s="180"/>
      <c r="C8" s="124"/>
      <c r="D8" s="124"/>
      <c r="E8" s="171" t="s">
        <v>2764</v>
      </c>
      <c r="F8" s="171">
        <v>3</v>
      </c>
      <c r="G8" s="172">
        <v>80</v>
      </c>
      <c r="H8" s="173">
        <v>18</v>
      </c>
      <c r="I8" s="174">
        <v>8</v>
      </c>
      <c r="J8" s="175" t="s">
        <v>2767</v>
      </c>
      <c r="K8" s="34">
        <f>IFERROR(_xlfn.XLOOKUP(J8,Index!$A:$A,Index!$B:$B),"")</f>
        <v>213.5</v>
      </c>
    </row>
    <row r="9" spans="1:11" x14ac:dyDescent="0.25">
      <c r="A9" s="124"/>
      <c r="B9" s="180"/>
      <c r="C9" s="124"/>
      <c r="D9" s="124"/>
      <c r="E9" s="171" t="s">
        <v>2768</v>
      </c>
      <c r="F9" s="171">
        <v>3</v>
      </c>
      <c r="G9" s="172">
        <v>80</v>
      </c>
      <c r="H9" s="173">
        <v>18</v>
      </c>
      <c r="I9" s="174">
        <v>8</v>
      </c>
      <c r="J9" s="175" t="s">
        <v>2769</v>
      </c>
      <c r="K9" s="34">
        <f>IFERROR(_xlfn.XLOOKUP(J9,Index!$A:$A,Index!$B:$B),"")</f>
        <v>293</v>
      </c>
    </row>
    <row r="10" spans="1:11" x14ac:dyDescent="0.25">
      <c r="A10" s="124"/>
      <c r="B10" s="180"/>
      <c r="C10" s="124"/>
      <c r="D10" s="124"/>
      <c r="E10" s="171" t="s">
        <v>2764</v>
      </c>
      <c r="F10" s="171">
        <v>4</v>
      </c>
      <c r="G10" s="172">
        <v>100</v>
      </c>
      <c r="H10" s="173">
        <v>20</v>
      </c>
      <c r="I10" s="174">
        <v>10</v>
      </c>
      <c r="J10" s="175" t="s">
        <v>2770</v>
      </c>
      <c r="K10" s="34">
        <f>IFERROR(_xlfn.XLOOKUP(J10,Index!$A:$A,Index!$B:$B),"")</f>
        <v>305.5</v>
      </c>
    </row>
    <row r="11" spans="1:11" x14ac:dyDescent="0.25">
      <c r="A11" s="124"/>
      <c r="B11" s="180"/>
      <c r="C11" s="124"/>
      <c r="D11" s="124"/>
      <c r="E11" s="171" t="s">
        <v>2768</v>
      </c>
      <c r="F11" s="171">
        <v>4</v>
      </c>
      <c r="G11" s="172">
        <v>100</v>
      </c>
      <c r="H11" s="173">
        <v>20</v>
      </c>
      <c r="I11" s="174">
        <v>10</v>
      </c>
      <c r="J11" s="38" t="s">
        <v>6006</v>
      </c>
      <c r="K11" s="34">
        <f>IFERROR(_xlfn.XLOOKUP(J11,Index!$A:$A,Index!$B:$B),"")</f>
        <v>366.5</v>
      </c>
    </row>
    <row r="12" spans="1:11" x14ac:dyDescent="0.25">
      <c r="A12" s="124"/>
      <c r="B12" s="180"/>
      <c r="C12" s="124"/>
      <c r="D12" s="124"/>
      <c r="E12" s="171" t="s">
        <v>2764</v>
      </c>
      <c r="F12" s="171">
        <v>5</v>
      </c>
      <c r="G12" s="172">
        <v>125</v>
      </c>
      <c r="H12" s="173">
        <v>30</v>
      </c>
      <c r="I12" s="174">
        <v>14</v>
      </c>
      <c r="J12" s="175" t="s">
        <v>2771</v>
      </c>
      <c r="K12" s="34">
        <f>IFERROR(_xlfn.XLOOKUP(J12,Index!$A:$A,Index!$B:$B),"")</f>
        <v>360</v>
      </c>
    </row>
    <row r="13" spans="1:11" x14ac:dyDescent="0.25">
      <c r="A13" s="124"/>
      <c r="B13" s="180"/>
      <c r="C13" s="124"/>
      <c r="D13" s="124"/>
      <c r="E13" s="171" t="s">
        <v>2764</v>
      </c>
      <c r="F13" s="171">
        <v>6</v>
      </c>
      <c r="G13" s="172">
        <v>150</v>
      </c>
      <c r="H13" s="173">
        <v>32</v>
      </c>
      <c r="I13" s="174">
        <v>15</v>
      </c>
      <c r="J13" s="175" t="s">
        <v>2772</v>
      </c>
      <c r="K13" s="34">
        <f>IFERROR(_xlfn.XLOOKUP(J13,Index!$A:$A,Index!$B:$B),"")</f>
        <v>431</v>
      </c>
    </row>
    <row r="14" spans="1:11" x14ac:dyDescent="0.25">
      <c r="A14" s="124"/>
      <c r="B14" s="180"/>
      <c r="C14" s="124"/>
      <c r="D14" s="124"/>
      <c r="E14" s="171" t="s">
        <v>2768</v>
      </c>
      <c r="F14" s="171">
        <v>6</v>
      </c>
      <c r="G14" s="172">
        <v>150</v>
      </c>
      <c r="H14" s="173">
        <v>32</v>
      </c>
      <c r="I14" s="174">
        <v>15</v>
      </c>
      <c r="J14" s="38" t="s">
        <v>6005</v>
      </c>
      <c r="K14" s="34">
        <f>IFERROR(_xlfn.XLOOKUP(J14,Index!$A:$A,Index!$B:$B),"")</f>
        <v>516</v>
      </c>
    </row>
    <row r="15" spans="1:11" x14ac:dyDescent="0.25">
      <c r="A15" s="124"/>
      <c r="B15" s="180"/>
      <c r="C15" s="124"/>
      <c r="D15" s="124"/>
      <c r="E15" s="171" t="s">
        <v>2764</v>
      </c>
      <c r="F15" s="171">
        <v>8</v>
      </c>
      <c r="G15" s="172">
        <v>200</v>
      </c>
      <c r="H15" s="173">
        <v>52</v>
      </c>
      <c r="I15" s="174">
        <v>24</v>
      </c>
      <c r="J15" s="175" t="s">
        <v>2773</v>
      </c>
      <c r="K15" s="34">
        <f>IFERROR(_xlfn.XLOOKUP(J15,Index!$A:$A,Index!$B:$B),"")</f>
        <v>690</v>
      </c>
    </row>
    <row r="16" spans="1:11" x14ac:dyDescent="0.25">
      <c r="A16" s="124"/>
      <c r="B16" s="180"/>
      <c r="C16" s="124"/>
      <c r="D16" s="124"/>
      <c r="E16" s="171" t="s">
        <v>2768</v>
      </c>
      <c r="F16" s="171">
        <v>8</v>
      </c>
      <c r="G16" s="172">
        <v>200</v>
      </c>
      <c r="H16" s="173">
        <v>68</v>
      </c>
      <c r="I16" s="174">
        <v>31</v>
      </c>
      <c r="J16" s="38" t="s">
        <v>5997</v>
      </c>
      <c r="K16" s="34">
        <f>IFERROR(_xlfn.XLOOKUP(J16,Index!$A:$A,Index!$B:$B),"")</f>
        <v>875</v>
      </c>
    </row>
    <row r="17" spans="1:11" x14ac:dyDescent="0.25">
      <c r="A17" s="124"/>
      <c r="B17" s="180"/>
      <c r="C17" s="124"/>
      <c r="D17" s="124"/>
      <c r="E17" s="171" t="s">
        <v>2764</v>
      </c>
      <c r="F17" s="171">
        <v>10</v>
      </c>
      <c r="G17" s="172">
        <v>250</v>
      </c>
      <c r="H17" s="173">
        <v>71</v>
      </c>
      <c r="I17" s="174">
        <v>32</v>
      </c>
      <c r="J17" s="175" t="s">
        <v>2774</v>
      </c>
      <c r="K17" s="34">
        <f>IFERROR(_xlfn.XLOOKUP(J17,Index!$A:$A,Index!$B:$B),"")</f>
        <v>1072</v>
      </c>
    </row>
    <row r="18" spans="1:11" x14ac:dyDescent="0.25">
      <c r="A18" s="124"/>
      <c r="B18" s="180"/>
      <c r="C18" s="124"/>
      <c r="D18" s="124"/>
      <c r="E18" s="171" t="s">
        <v>2768</v>
      </c>
      <c r="F18" s="171">
        <v>10</v>
      </c>
      <c r="G18" s="172">
        <v>250</v>
      </c>
      <c r="H18" s="173">
        <v>90</v>
      </c>
      <c r="I18" s="174">
        <v>41</v>
      </c>
      <c r="J18" s="175" t="s">
        <v>5998</v>
      </c>
      <c r="K18" s="34">
        <f>IFERROR(_xlfn.XLOOKUP(J18,Index!$A:$A,Index!$B:$B),"")</f>
        <v>1439</v>
      </c>
    </row>
    <row r="19" spans="1:11" x14ac:dyDescent="0.25">
      <c r="A19" s="124"/>
      <c r="B19" s="180"/>
      <c r="C19" s="124"/>
      <c r="D19" s="124"/>
      <c r="E19" s="171" t="s">
        <v>2768</v>
      </c>
      <c r="F19" s="171">
        <v>12</v>
      </c>
      <c r="G19" s="172">
        <v>300</v>
      </c>
      <c r="H19" s="173">
        <v>140</v>
      </c>
      <c r="I19" s="174">
        <v>64</v>
      </c>
      <c r="J19" s="175" t="s">
        <v>6004</v>
      </c>
      <c r="K19" s="34">
        <f>IFERROR(_xlfn.XLOOKUP(J19,Index!$A:$A,Index!$B:$B),"")</f>
        <v>1838</v>
      </c>
    </row>
    <row r="20" spans="1:11" x14ac:dyDescent="0.25">
      <c r="A20" s="124"/>
      <c r="B20" s="180"/>
      <c r="C20" s="124"/>
      <c r="D20" s="124"/>
      <c r="E20" s="171" t="s">
        <v>2768</v>
      </c>
      <c r="F20" s="171">
        <v>14</v>
      </c>
      <c r="G20" s="172">
        <v>250</v>
      </c>
      <c r="H20" s="173">
        <v>189</v>
      </c>
      <c r="I20" s="174">
        <v>86</v>
      </c>
      <c r="J20" s="175" t="s">
        <v>5999</v>
      </c>
      <c r="K20" s="34">
        <f>IFERROR(_xlfn.XLOOKUP(J20,Index!$A:$A,Index!$B:$B),"")</f>
        <v>3125</v>
      </c>
    </row>
    <row r="21" spans="1:11" x14ac:dyDescent="0.25">
      <c r="A21" s="124"/>
      <c r="B21" s="180"/>
      <c r="C21" s="124"/>
      <c r="D21" s="124"/>
      <c r="E21" s="171" t="s">
        <v>2768</v>
      </c>
      <c r="F21" s="171">
        <v>16</v>
      </c>
      <c r="G21" s="172">
        <v>400</v>
      </c>
      <c r="H21" s="173">
        <v>273</v>
      </c>
      <c r="I21" s="174">
        <v>124</v>
      </c>
      <c r="J21" s="175" t="s">
        <v>6000</v>
      </c>
      <c r="K21" s="34">
        <f>IFERROR(_xlfn.XLOOKUP(J21,Index!$A:$A,Index!$B:$B),"")</f>
        <v>5000</v>
      </c>
    </row>
    <row r="22" spans="1:11" x14ac:dyDescent="0.25">
      <c r="A22" s="124"/>
      <c r="B22" s="180"/>
      <c r="C22" s="124"/>
      <c r="D22" s="124"/>
      <c r="E22" s="171" t="s">
        <v>2768</v>
      </c>
      <c r="F22" s="171">
        <v>18</v>
      </c>
      <c r="G22" s="172">
        <v>450</v>
      </c>
      <c r="H22" s="173">
        <v>340</v>
      </c>
      <c r="I22" s="174">
        <v>154</v>
      </c>
      <c r="J22" s="175" t="s">
        <v>6001</v>
      </c>
      <c r="K22" s="34">
        <f>IFERROR(_xlfn.XLOOKUP(J22,Index!$A:$A,Index!$B:$B),"")</f>
        <v>5202</v>
      </c>
    </row>
    <row r="23" spans="1:11" x14ac:dyDescent="0.25">
      <c r="A23" s="124"/>
      <c r="B23" s="180"/>
      <c r="C23" s="124"/>
      <c r="D23" s="124"/>
      <c r="E23" s="171" t="s">
        <v>2768</v>
      </c>
      <c r="F23" s="171">
        <v>20</v>
      </c>
      <c r="G23" s="172">
        <v>500</v>
      </c>
      <c r="H23" s="173">
        <v>465</v>
      </c>
      <c r="I23" s="174">
        <v>210</v>
      </c>
      <c r="J23" s="175" t="s">
        <v>6002</v>
      </c>
      <c r="K23" s="34">
        <f>IFERROR(_xlfn.XLOOKUP(J23,Index!$A:$A,Index!$B:$B),"")</f>
        <v>7334</v>
      </c>
    </row>
    <row r="24" spans="1:11" x14ac:dyDescent="0.25">
      <c r="A24" s="124"/>
      <c r="B24" s="180"/>
      <c r="C24" s="124"/>
      <c r="D24" s="124"/>
      <c r="E24" s="171" t="s">
        <v>2768</v>
      </c>
      <c r="F24" s="171">
        <v>24</v>
      </c>
      <c r="G24" s="172">
        <v>600</v>
      </c>
      <c r="H24" s="173">
        <v>675</v>
      </c>
      <c r="I24" s="174">
        <v>306</v>
      </c>
      <c r="J24" s="175" t="s">
        <v>6003</v>
      </c>
      <c r="K24" s="34">
        <f>IFERROR(_xlfn.XLOOKUP(J24,Index!$A:$A,Index!$B:$B),"")</f>
        <v>9949</v>
      </c>
    </row>
    <row r="25" spans="1:11" x14ac:dyDescent="0.25">
      <c r="A25" s="124"/>
      <c r="B25" s="180"/>
      <c r="C25" s="124"/>
      <c r="D25" s="124"/>
      <c r="E25" s="171" t="s">
        <v>2768</v>
      </c>
      <c r="F25" s="171">
        <v>30</v>
      </c>
      <c r="G25" s="172">
        <v>750</v>
      </c>
      <c r="H25" s="173">
        <v>1389</v>
      </c>
      <c r="I25" s="174">
        <v>630</v>
      </c>
      <c r="J25" s="175" t="s">
        <v>2775</v>
      </c>
      <c r="K25" s="34">
        <f>IFERROR(_xlfn.XLOOKUP(J25,Index!$A:$A,Index!$B:$B),"")</f>
        <v>29454</v>
      </c>
    </row>
    <row r="26" spans="1:11" x14ac:dyDescent="0.25">
      <c r="A26" s="124"/>
      <c r="B26" s="180"/>
      <c r="C26" s="124"/>
      <c r="D26" s="124"/>
      <c r="E26" s="171" t="s">
        <v>2768</v>
      </c>
      <c r="F26" s="171">
        <v>36</v>
      </c>
      <c r="G26" s="172">
        <v>900</v>
      </c>
      <c r="H26" s="173">
        <v>1389</v>
      </c>
      <c r="I26" s="174">
        <v>630</v>
      </c>
      <c r="J26" s="175" t="s">
        <v>2776</v>
      </c>
      <c r="K26" s="34">
        <f>IFERROR(_xlfn.XLOOKUP(J26,Index!$A:$A,Index!$B:$B),"")</f>
        <v>44635</v>
      </c>
    </row>
    <row r="27" spans="1:11" x14ac:dyDescent="0.25">
      <c r="A27" s="124"/>
      <c r="B27" s="180"/>
      <c r="C27" s="124"/>
      <c r="D27" s="124"/>
      <c r="E27" s="171" t="s">
        <v>2768</v>
      </c>
      <c r="F27" s="171">
        <v>42</v>
      </c>
      <c r="G27" s="172">
        <v>1050</v>
      </c>
      <c r="H27" s="173">
        <v>2795</v>
      </c>
      <c r="I27" s="174">
        <v>1268</v>
      </c>
      <c r="J27" s="175" t="s">
        <v>2777</v>
      </c>
      <c r="K27" s="34">
        <f>IFERROR(_xlfn.XLOOKUP(J27,Index!$A:$A,Index!$B:$B),"")</f>
        <v>49367</v>
      </c>
    </row>
    <row r="28" spans="1:11" x14ac:dyDescent="0.25">
      <c r="A28" s="124"/>
      <c r="B28" s="180"/>
      <c r="C28" s="124"/>
      <c r="D28" s="124"/>
      <c r="E28" s="171" t="s">
        <v>2768</v>
      </c>
      <c r="F28" s="171">
        <v>48</v>
      </c>
      <c r="G28" s="172">
        <v>1200</v>
      </c>
      <c r="H28" s="173">
        <v>3955</v>
      </c>
      <c r="I28" s="174">
        <v>1794</v>
      </c>
      <c r="J28" s="175" t="s">
        <v>2778</v>
      </c>
      <c r="K28" s="34">
        <f>IFERROR(_xlfn.XLOOKUP(J28,Index!$A:$A,Index!$B:$B),"")</f>
        <v>51885</v>
      </c>
    </row>
    <row r="29" spans="1:11" x14ac:dyDescent="0.25">
      <c r="A29" s="124"/>
      <c r="B29" s="180"/>
      <c r="C29" s="124"/>
      <c r="D29" s="124"/>
      <c r="E29" s="171" t="s">
        <v>2768</v>
      </c>
      <c r="F29" s="171">
        <v>54</v>
      </c>
      <c r="G29" s="172">
        <v>1350</v>
      </c>
      <c r="H29" s="173">
        <v>5057</v>
      </c>
      <c r="I29" s="174">
        <v>2294</v>
      </c>
      <c r="J29" s="175" t="s">
        <v>2779</v>
      </c>
      <c r="K29" s="34">
        <f>IFERROR(_xlfn.XLOOKUP(J29,Index!$A:$A,Index!$B:$B),"")</f>
        <v>84890</v>
      </c>
    </row>
    <row r="30" spans="1:11" x14ac:dyDescent="0.25">
      <c r="A30" s="120"/>
      <c r="B30" s="181"/>
      <c r="C30" s="120"/>
      <c r="D30" s="120"/>
      <c r="E30" s="171" t="s">
        <v>2768</v>
      </c>
      <c r="F30" s="171">
        <v>60</v>
      </c>
      <c r="G30" s="172">
        <v>1500</v>
      </c>
      <c r="H30" s="173">
        <v>6382</v>
      </c>
      <c r="I30" s="174">
        <v>2895</v>
      </c>
      <c r="J30" s="175" t="s">
        <v>2780</v>
      </c>
      <c r="K30" s="34">
        <f>IFERROR(_xlfn.XLOOKUP(J30,Index!$A:$A,Index!$B:$B),"")</f>
        <v>117048</v>
      </c>
    </row>
    <row r="32" spans="1:11" ht="15.75" x14ac:dyDescent="0.25">
      <c r="A32" s="62" t="s">
        <v>2781</v>
      </c>
      <c r="B32" s="63" t="s">
        <v>647</v>
      </c>
      <c r="C32" s="14"/>
      <c r="D32" s="14"/>
      <c r="E32" s="14"/>
      <c r="F32" s="3"/>
      <c r="G32" s="8"/>
      <c r="H32" s="110"/>
      <c r="I32" s="111"/>
      <c r="J32" s="19"/>
      <c r="K32" s="19"/>
    </row>
    <row r="33" spans="1:11" ht="15.75" x14ac:dyDescent="0.25">
      <c r="A33" s="48" t="s">
        <v>2782</v>
      </c>
      <c r="B33" s="11"/>
      <c r="C33" s="4"/>
      <c r="D33" s="4"/>
      <c r="E33" s="4"/>
      <c r="F33" s="4"/>
      <c r="G33" s="5"/>
      <c r="H33" s="110"/>
      <c r="I33" s="4"/>
      <c r="J33" s="19"/>
      <c r="K33" s="19"/>
    </row>
    <row r="34" spans="1:11" x14ac:dyDescent="0.25">
      <c r="A34" s="102" t="s">
        <v>35</v>
      </c>
      <c r="B34" s="344" t="s">
        <v>2291</v>
      </c>
      <c r="C34" s="345"/>
      <c r="D34" s="345"/>
      <c r="E34" s="274" t="s">
        <v>2761</v>
      </c>
      <c r="F34" s="335" t="s">
        <v>38</v>
      </c>
      <c r="G34" s="336"/>
      <c r="H34" s="337" t="s">
        <v>39</v>
      </c>
      <c r="I34" s="336"/>
      <c r="J34" s="42" t="s">
        <v>40</v>
      </c>
      <c r="K34" s="24" t="s">
        <v>41</v>
      </c>
    </row>
    <row r="35" spans="1:11" x14ac:dyDescent="0.25">
      <c r="A35" s="96"/>
      <c r="B35" s="182" t="s">
        <v>2292</v>
      </c>
      <c r="C35" s="147" t="s">
        <v>2762</v>
      </c>
      <c r="D35" s="147" t="s">
        <v>2293</v>
      </c>
      <c r="E35" s="33" t="s">
        <v>44</v>
      </c>
      <c r="F35" s="33" t="s">
        <v>44</v>
      </c>
      <c r="G35" s="33" t="s">
        <v>45</v>
      </c>
      <c r="H35" s="33" t="s">
        <v>46</v>
      </c>
      <c r="I35" s="39" t="s">
        <v>47</v>
      </c>
      <c r="J35" s="33"/>
      <c r="K35" s="41"/>
    </row>
    <row r="36" spans="1:11" x14ac:dyDescent="0.25">
      <c r="A36" s="60" t="s">
        <v>2783</v>
      </c>
      <c r="B36" s="92" t="s">
        <v>2296</v>
      </c>
      <c r="C36" s="89" t="s">
        <v>2296</v>
      </c>
      <c r="D36" s="89" t="s">
        <v>2784</v>
      </c>
      <c r="E36" s="64" t="s">
        <v>2764</v>
      </c>
      <c r="F36" s="64">
        <v>2.5</v>
      </c>
      <c r="G36" s="98">
        <v>50</v>
      </c>
      <c r="H36" s="35">
        <v>16</v>
      </c>
      <c r="I36" s="40">
        <v>7.4</v>
      </c>
      <c r="J36" s="38" t="s">
        <v>2785</v>
      </c>
      <c r="K36" s="34">
        <f>IFERROR(_xlfn.XLOOKUP(J36,Index!$A:$A,Index!$B:$B),"")</f>
        <v>931</v>
      </c>
    </row>
    <row r="37" spans="1:11" x14ac:dyDescent="0.25">
      <c r="A37" s="124"/>
      <c r="B37" s="180"/>
      <c r="C37" s="124"/>
      <c r="D37" s="124"/>
      <c r="E37" s="64" t="s">
        <v>2768</v>
      </c>
      <c r="F37" s="64">
        <v>2.5</v>
      </c>
      <c r="G37" s="98">
        <v>65</v>
      </c>
      <c r="H37" s="35">
        <v>16</v>
      </c>
      <c r="I37" s="40">
        <v>7.4</v>
      </c>
      <c r="J37" s="38" t="s">
        <v>2786</v>
      </c>
      <c r="K37" s="34">
        <f>IFERROR(_xlfn.XLOOKUP(J37,Index!$A:$A,Index!$B:$B),"")</f>
        <v>950</v>
      </c>
    </row>
    <row r="38" spans="1:11" x14ac:dyDescent="0.25">
      <c r="A38" s="124"/>
      <c r="B38" s="180"/>
      <c r="C38" s="124"/>
      <c r="D38" s="124"/>
      <c r="E38" s="64" t="s">
        <v>2764</v>
      </c>
      <c r="F38" s="64">
        <v>3</v>
      </c>
      <c r="G38" s="98">
        <v>80</v>
      </c>
      <c r="H38" s="35">
        <v>20</v>
      </c>
      <c r="I38" s="40">
        <v>9</v>
      </c>
      <c r="J38" s="38" t="s">
        <v>2787</v>
      </c>
      <c r="K38" s="34">
        <f>IFERROR(_xlfn.XLOOKUP(J38,Index!$A:$A,Index!$B:$B),"")</f>
        <v>991</v>
      </c>
    </row>
    <row r="39" spans="1:11" x14ac:dyDescent="0.25">
      <c r="A39" s="124"/>
      <c r="B39" s="180"/>
      <c r="C39" s="124"/>
      <c r="D39" s="124"/>
      <c r="E39" s="64" t="s">
        <v>2768</v>
      </c>
      <c r="F39" s="64">
        <v>3</v>
      </c>
      <c r="G39" s="98">
        <v>80</v>
      </c>
      <c r="H39" s="35">
        <v>20</v>
      </c>
      <c r="I39" s="40">
        <v>9</v>
      </c>
      <c r="J39" s="38" t="s">
        <v>2788</v>
      </c>
      <c r="K39" s="34">
        <f>IFERROR(_xlfn.XLOOKUP(J39,Index!$A:$A,Index!$B:$B),"")</f>
        <v>1056</v>
      </c>
    </row>
    <row r="40" spans="1:11" x14ac:dyDescent="0.25">
      <c r="A40" s="124"/>
      <c r="B40" s="180"/>
      <c r="C40" s="124"/>
      <c r="D40" s="124"/>
      <c r="E40" s="64" t="s">
        <v>2764</v>
      </c>
      <c r="F40" s="64">
        <v>4</v>
      </c>
      <c r="G40" s="98">
        <v>100</v>
      </c>
      <c r="H40" s="35">
        <v>26</v>
      </c>
      <c r="I40" s="40">
        <v>12</v>
      </c>
      <c r="J40" s="38" t="s">
        <v>2789</v>
      </c>
      <c r="K40" s="34">
        <f>IFERROR(_xlfn.XLOOKUP(J40,Index!$A:$A,Index!$B:$B),"")</f>
        <v>1231</v>
      </c>
    </row>
    <row r="41" spans="1:11" x14ac:dyDescent="0.25">
      <c r="A41" s="124"/>
      <c r="B41" s="180"/>
      <c r="C41" s="124"/>
      <c r="D41" s="124"/>
      <c r="E41" s="64" t="s">
        <v>2768</v>
      </c>
      <c r="F41" s="64">
        <v>4</v>
      </c>
      <c r="G41" s="98">
        <v>100</v>
      </c>
      <c r="H41" s="35">
        <v>26</v>
      </c>
      <c r="I41" s="40">
        <v>12</v>
      </c>
      <c r="J41" s="38" t="s">
        <v>2790</v>
      </c>
      <c r="K41" s="34">
        <f>IFERROR(_xlfn.XLOOKUP(J41,Index!$A:$A,Index!$B:$B),"")</f>
        <v>1298</v>
      </c>
    </row>
    <row r="42" spans="1:11" x14ac:dyDescent="0.25">
      <c r="A42" s="124"/>
      <c r="B42" s="180"/>
      <c r="C42" s="124"/>
      <c r="D42" s="124"/>
      <c r="E42" s="64" t="s">
        <v>2764</v>
      </c>
      <c r="F42" s="64">
        <v>5</v>
      </c>
      <c r="G42" s="98">
        <v>125</v>
      </c>
      <c r="H42" s="35">
        <v>30</v>
      </c>
      <c r="I42" s="40">
        <v>14</v>
      </c>
      <c r="J42" s="38" t="s">
        <v>2791</v>
      </c>
      <c r="K42" s="34">
        <f>IFERROR(_xlfn.XLOOKUP(J42,Index!$A:$A,Index!$B:$B),"")</f>
        <v>1521</v>
      </c>
    </row>
    <row r="43" spans="1:11" x14ac:dyDescent="0.25">
      <c r="A43" s="124"/>
      <c r="B43" s="180"/>
      <c r="C43" s="124"/>
      <c r="D43" s="124"/>
      <c r="E43" s="64" t="s">
        <v>2768</v>
      </c>
      <c r="F43" s="64">
        <v>6</v>
      </c>
      <c r="G43" s="98">
        <v>150</v>
      </c>
      <c r="H43" s="35">
        <v>35</v>
      </c>
      <c r="I43" s="40">
        <v>16</v>
      </c>
      <c r="J43" s="38" t="s">
        <v>2792</v>
      </c>
      <c r="K43" s="34">
        <f>IFERROR(_xlfn.XLOOKUP(J43,Index!$A:$A,Index!$B:$B),"")</f>
        <v>1738</v>
      </c>
    </row>
    <row r="44" spans="1:11" x14ac:dyDescent="0.25">
      <c r="A44" s="124"/>
      <c r="B44" s="180"/>
      <c r="C44" s="124"/>
      <c r="D44" s="124"/>
      <c r="E44" s="64" t="s">
        <v>2768</v>
      </c>
      <c r="F44" s="64">
        <v>8</v>
      </c>
      <c r="G44" s="98">
        <v>200</v>
      </c>
      <c r="H44" s="35">
        <v>70</v>
      </c>
      <c r="I44" s="40">
        <v>32</v>
      </c>
      <c r="J44" s="38" t="s">
        <v>2793</v>
      </c>
      <c r="K44" s="34">
        <f>IFERROR(_xlfn.XLOOKUP(J44,Index!$A:$A,Index!$B:$B),"")</f>
        <v>2413</v>
      </c>
    </row>
    <row r="45" spans="1:11" x14ac:dyDescent="0.25">
      <c r="A45" s="124"/>
      <c r="B45" s="180"/>
      <c r="C45" s="124"/>
      <c r="D45" s="124"/>
      <c r="E45" s="64" t="s">
        <v>2768</v>
      </c>
      <c r="F45" s="64">
        <v>10</v>
      </c>
      <c r="G45" s="98">
        <v>250</v>
      </c>
      <c r="H45" s="35">
        <v>105</v>
      </c>
      <c r="I45" s="40">
        <v>48</v>
      </c>
      <c r="J45" s="38" t="s">
        <v>2794</v>
      </c>
      <c r="K45" s="34">
        <f>IFERROR(_xlfn.XLOOKUP(J45,Index!$A:$A,Index!$B:$B),"")</f>
        <v>3567</v>
      </c>
    </row>
    <row r="46" spans="1:11" x14ac:dyDescent="0.25">
      <c r="A46" s="124"/>
      <c r="B46" s="180"/>
      <c r="C46" s="124"/>
      <c r="D46" s="124"/>
      <c r="E46" s="64" t="s">
        <v>2768</v>
      </c>
      <c r="F46" s="64">
        <v>12</v>
      </c>
      <c r="G46" s="98">
        <v>300</v>
      </c>
      <c r="H46" s="35">
        <v>155</v>
      </c>
      <c r="I46" s="40">
        <v>70</v>
      </c>
      <c r="J46" s="38" t="s">
        <v>2795</v>
      </c>
      <c r="K46" s="34">
        <f>IFERROR(_xlfn.XLOOKUP(J46,Index!$A:$A,Index!$B:$B),"")</f>
        <v>5070</v>
      </c>
    </row>
    <row r="47" spans="1:11" x14ac:dyDescent="0.25">
      <c r="A47" s="124"/>
      <c r="B47" s="180"/>
      <c r="C47" s="124"/>
      <c r="D47" s="124"/>
      <c r="E47" s="64" t="s">
        <v>2768</v>
      </c>
      <c r="F47" s="64">
        <v>14</v>
      </c>
      <c r="G47" s="98">
        <v>250</v>
      </c>
      <c r="H47" s="35">
        <v>225</v>
      </c>
      <c r="I47" s="40">
        <v>102</v>
      </c>
      <c r="J47" s="38" t="s">
        <v>2796</v>
      </c>
      <c r="K47" s="34">
        <f>IFERROR(_xlfn.XLOOKUP(J47,Index!$A:$A,Index!$B:$B),"")</f>
        <v>6513</v>
      </c>
    </row>
    <row r="48" spans="1:11" x14ac:dyDescent="0.25">
      <c r="A48" s="124"/>
      <c r="B48" s="180"/>
      <c r="C48" s="124"/>
      <c r="D48" s="124"/>
      <c r="E48" s="64" t="s">
        <v>2768</v>
      </c>
      <c r="F48" s="64">
        <v>16</v>
      </c>
      <c r="G48" s="98">
        <v>400</v>
      </c>
      <c r="H48" s="35">
        <v>317</v>
      </c>
      <c r="I48" s="40">
        <v>144</v>
      </c>
      <c r="J48" s="38" t="s">
        <v>2797</v>
      </c>
      <c r="K48" s="34">
        <f>IFERROR(_xlfn.XLOOKUP(J48,Index!$A:$A,Index!$B:$B),"")</f>
        <v>8073</v>
      </c>
    </row>
    <row r="49" spans="1:11" x14ac:dyDescent="0.25">
      <c r="A49" s="124"/>
      <c r="B49" s="180"/>
      <c r="C49" s="124"/>
      <c r="D49" s="124"/>
      <c r="E49" s="64" t="s">
        <v>2768</v>
      </c>
      <c r="F49" s="64">
        <v>18</v>
      </c>
      <c r="G49" s="98">
        <v>450</v>
      </c>
      <c r="H49" s="35">
        <v>414</v>
      </c>
      <c r="I49" s="40">
        <v>188</v>
      </c>
      <c r="J49" s="38" t="s">
        <v>2798</v>
      </c>
      <c r="K49" s="34">
        <f>IFERROR(_xlfn.XLOOKUP(J49,Index!$A:$A,Index!$B:$B),"")</f>
        <v>11344</v>
      </c>
    </row>
    <row r="50" spans="1:11" x14ac:dyDescent="0.25">
      <c r="A50" s="124"/>
      <c r="B50" s="180"/>
      <c r="C50" s="124"/>
      <c r="D50" s="124"/>
      <c r="E50" s="64" t="s">
        <v>2768</v>
      </c>
      <c r="F50" s="64">
        <v>20</v>
      </c>
      <c r="G50" s="98">
        <v>500</v>
      </c>
      <c r="H50" s="35">
        <v>538</v>
      </c>
      <c r="I50" s="40">
        <v>244</v>
      </c>
      <c r="J50" s="38" t="s">
        <v>2799</v>
      </c>
      <c r="K50" s="34">
        <f>IFERROR(_xlfn.XLOOKUP(J50,Index!$A:$A,Index!$B:$B),"")</f>
        <v>13644</v>
      </c>
    </row>
    <row r="51" spans="1:11" x14ac:dyDescent="0.25">
      <c r="A51" s="124"/>
      <c r="B51" s="180"/>
      <c r="C51" s="124"/>
      <c r="D51" s="124"/>
      <c r="E51" s="64" t="s">
        <v>2768</v>
      </c>
      <c r="F51" s="64">
        <v>24</v>
      </c>
      <c r="G51" s="98">
        <v>600</v>
      </c>
      <c r="H51" s="35">
        <v>833</v>
      </c>
      <c r="I51" s="40">
        <v>378</v>
      </c>
      <c r="J51" s="38" t="s">
        <v>2800</v>
      </c>
      <c r="K51" s="34">
        <f>IFERROR(_xlfn.XLOOKUP(J51,Index!$A:$A,Index!$B:$B),"")</f>
        <v>19883</v>
      </c>
    </row>
    <row r="52" spans="1:11" x14ac:dyDescent="0.25">
      <c r="A52" s="124"/>
      <c r="B52" s="180"/>
      <c r="C52" s="124"/>
      <c r="D52" s="124"/>
      <c r="E52" s="64" t="s">
        <v>2768</v>
      </c>
      <c r="F52" s="183">
        <v>28</v>
      </c>
      <c r="G52" s="184">
        <v>700</v>
      </c>
      <c r="H52" s="35">
        <v>1071</v>
      </c>
      <c r="I52" s="40">
        <v>486</v>
      </c>
      <c r="J52" s="38" t="s">
        <v>2801</v>
      </c>
      <c r="K52" s="34">
        <f>IFERROR(_xlfn.XLOOKUP(J52,Index!$A:$A,Index!$B:$B),"")</f>
        <v>26151</v>
      </c>
    </row>
    <row r="53" spans="1:11" x14ac:dyDescent="0.25">
      <c r="A53" s="124"/>
      <c r="B53" s="180"/>
      <c r="C53" s="124"/>
      <c r="D53" s="124"/>
      <c r="E53" s="64" t="s">
        <v>2768</v>
      </c>
      <c r="F53" s="64">
        <v>30</v>
      </c>
      <c r="G53" s="98">
        <v>750</v>
      </c>
      <c r="H53" s="35">
        <v>1444</v>
      </c>
      <c r="I53" s="40">
        <v>655</v>
      </c>
      <c r="J53" s="38" t="s">
        <v>2802</v>
      </c>
      <c r="K53" s="34">
        <f>IFERROR(_xlfn.XLOOKUP(J53,Index!$A:$A,Index!$B:$B),"")</f>
        <v>36358</v>
      </c>
    </row>
    <row r="54" spans="1:11" x14ac:dyDescent="0.25">
      <c r="A54" s="124"/>
      <c r="B54" s="180"/>
      <c r="C54" s="124"/>
      <c r="D54" s="124"/>
      <c r="E54" s="64" t="s">
        <v>2768</v>
      </c>
      <c r="F54" s="64">
        <v>32</v>
      </c>
      <c r="G54" s="98">
        <v>800</v>
      </c>
      <c r="H54" s="35">
        <v>1665</v>
      </c>
      <c r="I54" s="40">
        <v>755</v>
      </c>
      <c r="J54" s="38" t="s">
        <v>2803</v>
      </c>
      <c r="K54" s="34">
        <f>IFERROR(_xlfn.XLOOKUP(J54,Index!$A:$A,Index!$B:$B),"")</f>
        <v>41826</v>
      </c>
    </row>
    <row r="55" spans="1:11" x14ac:dyDescent="0.25">
      <c r="A55" s="124"/>
      <c r="B55" s="180"/>
      <c r="C55" s="124"/>
      <c r="D55" s="124"/>
      <c r="E55" s="185" t="s">
        <v>2768</v>
      </c>
      <c r="F55" s="64">
        <v>36</v>
      </c>
      <c r="G55" s="98">
        <v>900</v>
      </c>
      <c r="H55" s="35">
        <v>1808</v>
      </c>
      <c r="I55" s="40">
        <v>820</v>
      </c>
      <c r="J55" s="38" t="s">
        <v>2804</v>
      </c>
      <c r="K55" s="34">
        <f>IFERROR(_xlfn.XLOOKUP(J55,Index!$A:$A,Index!$B:$B),"")</f>
        <v>54276</v>
      </c>
    </row>
    <row r="56" spans="1:11" x14ac:dyDescent="0.25">
      <c r="A56" s="120"/>
      <c r="B56" s="181"/>
      <c r="C56" s="120"/>
      <c r="D56" s="120"/>
      <c r="E56" s="64" t="s">
        <v>2768</v>
      </c>
      <c r="F56" s="64">
        <v>40</v>
      </c>
      <c r="G56" s="98">
        <v>1000</v>
      </c>
      <c r="H56" s="85">
        <v>2324</v>
      </c>
      <c r="I56" s="40">
        <v>1054</v>
      </c>
      <c r="J56" s="38" t="s">
        <v>2805</v>
      </c>
      <c r="K56" s="34">
        <f>IFERROR(_xlfn.XLOOKUP(J56,Index!$A:$A,Index!$B:$B),"")</f>
        <v>76946</v>
      </c>
    </row>
    <row r="58" spans="1:11" ht="15.75" x14ac:dyDescent="0.25">
      <c r="A58" s="62" t="s">
        <v>6007</v>
      </c>
      <c r="B58" s="151" t="s">
        <v>647</v>
      </c>
      <c r="C58" s="152"/>
      <c r="D58" s="152"/>
      <c r="E58" s="152"/>
      <c r="F58" s="153"/>
      <c r="G58" s="154"/>
      <c r="H58" s="155"/>
      <c r="I58" s="156"/>
      <c r="J58" s="157"/>
      <c r="K58" s="157"/>
    </row>
    <row r="59" spans="1:11" ht="15.75" x14ac:dyDescent="0.25">
      <c r="A59" s="48" t="s">
        <v>6008</v>
      </c>
      <c r="B59" s="159"/>
      <c r="C59" s="160"/>
      <c r="D59" s="160"/>
      <c r="E59" s="160"/>
      <c r="F59" s="160"/>
      <c r="G59" s="161"/>
      <c r="H59" s="155"/>
      <c r="I59" s="160"/>
      <c r="J59" s="313" t="s">
        <v>6023</v>
      </c>
      <c r="K59" s="157"/>
    </row>
    <row r="60" spans="1:11" x14ac:dyDescent="0.25">
      <c r="A60" s="162" t="s">
        <v>35</v>
      </c>
      <c r="B60" s="348" t="s">
        <v>2291</v>
      </c>
      <c r="C60" s="349"/>
      <c r="D60" s="349"/>
      <c r="E60" s="277" t="s">
        <v>2761</v>
      </c>
      <c r="F60" s="340" t="s">
        <v>38</v>
      </c>
      <c r="G60" s="343"/>
      <c r="H60" s="340" t="s">
        <v>39</v>
      </c>
      <c r="I60" s="343"/>
      <c r="J60" s="163" t="s">
        <v>40</v>
      </c>
      <c r="K60" s="164" t="s">
        <v>41</v>
      </c>
    </row>
    <row r="61" spans="1:11" x14ac:dyDescent="0.25">
      <c r="A61" s="165"/>
      <c r="B61" s="179" t="s">
        <v>2292</v>
      </c>
      <c r="C61" s="177" t="s">
        <v>2762</v>
      </c>
      <c r="D61" s="177" t="s">
        <v>2293</v>
      </c>
      <c r="E61" s="166" t="s">
        <v>44</v>
      </c>
      <c r="F61" s="166" t="s">
        <v>44</v>
      </c>
      <c r="G61" s="166" t="s">
        <v>45</v>
      </c>
      <c r="H61" s="166" t="s">
        <v>46</v>
      </c>
      <c r="I61" s="167" t="s">
        <v>47</v>
      </c>
      <c r="J61" s="166"/>
      <c r="K61" s="168"/>
    </row>
    <row r="62" spans="1:11" x14ac:dyDescent="0.25">
      <c r="A62" s="60" t="s">
        <v>6009</v>
      </c>
      <c r="B62" s="178" t="s">
        <v>2296</v>
      </c>
      <c r="C62" s="170" t="s">
        <v>2296</v>
      </c>
      <c r="D62" s="89" t="s">
        <v>2784</v>
      </c>
      <c r="E62" s="171" t="s">
        <v>2764</v>
      </c>
      <c r="F62" s="171">
        <v>2</v>
      </c>
      <c r="G62" s="172">
        <v>50</v>
      </c>
      <c r="H62" s="173">
        <v>20</v>
      </c>
      <c r="I62" s="174">
        <v>9</v>
      </c>
      <c r="J62" s="175" t="s">
        <v>6010</v>
      </c>
      <c r="K62" s="34">
        <f>IFERROR(_xlfn.XLOOKUP(J62,Index!$A:$A,Index!$B:$B),"")</f>
        <v>1507</v>
      </c>
    </row>
    <row r="63" spans="1:11" x14ac:dyDescent="0.25">
      <c r="A63" s="124"/>
      <c r="B63" s="180"/>
      <c r="C63" s="124"/>
      <c r="D63" s="124"/>
      <c r="E63" s="64" t="s">
        <v>2768</v>
      </c>
      <c r="F63" s="171">
        <v>2</v>
      </c>
      <c r="G63" s="172">
        <v>50</v>
      </c>
      <c r="H63" s="173">
        <v>24</v>
      </c>
      <c r="I63" s="174">
        <v>11</v>
      </c>
      <c r="J63" s="175" t="s">
        <v>6011</v>
      </c>
      <c r="K63" s="34">
        <f>IFERROR(_xlfn.XLOOKUP(J63,Index!$A:$A,Index!$B:$B),"")</f>
        <v>1708</v>
      </c>
    </row>
    <row r="64" spans="1:11" x14ac:dyDescent="0.25">
      <c r="A64" s="124"/>
      <c r="B64" s="180"/>
      <c r="C64" s="124"/>
      <c r="D64" s="124"/>
      <c r="E64" s="171" t="s">
        <v>2764</v>
      </c>
      <c r="F64" s="171">
        <v>2.5</v>
      </c>
      <c r="G64" s="172">
        <v>65</v>
      </c>
      <c r="H64" s="173">
        <v>22</v>
      </c>
      <c r="I64" s="174">
        <v>10</v>
      </c>
      <c r="J64" s="175" t="s">
        <v>6012</v>
      </c>
      <c r="K64" s="34">
        <f>IFERROR(_xlfn.XLOOKUP(J64,Index!$A:$A,Index!$B:$B),"")</f>
        <v>1648</v>
      </c>
    </row>
    <row r="65" spans="1:11" x14ac:dyDescent="0.25">
      <c r="A65" s="124"/>
      <c r="B65" s="180"/>
      <c r="C65" s="124"/>
      <c r="D65" s="124"/>
      <c r="E65" s="64" t="s">
        <v>2768</v>
      </c>
      <c r="F65" s="171">
        <v>2.5</v>
      </c>
      <c r="G65" s="172">
        <v>65</v>
      </c>
      <c r="H65" s="173">
        <v>26</v>
      </c>
      <c r="I65" s="174">
        <v>12</v>
      </c>
      <c r="J65" s="175" t="s">
        <v>6013</v>
      </c>
      <c r="K65" s="34">
        <f>IFERROR(_xlfn.XLOOKUP(J65,Index!$A:$A,Index!$B:$B),"")</f>
        <v>1847</v>
      </c>
    </row>
    <row r="66" spans="1:11" x14ac:dyDescent="0.25">
      <c r="A66" s="124"/>
      <c r="B66" s="180"/>
      <c r="C66" s="124"/>
      <c r="D66" s="124"/>
      <c r="E66" s="171" t="s">
        <v>2764</v>
      </c>
      <c r="F66" s="171">
        <v>3</v>
      </c>
      <c r="G66" s="172">
        <v>80</v>
      </c>
      <c r="H66" s="173">
        <v>24</v>
      </c>
      <c r="I66" s="174">
        <v>11</v>
      </c>
      <c r="J66" s="175" t="s">
        <v>6014</v>
      </c>
      <c r="K66" s="34">
        <f>IFERROR(_xlfn.XLOOKUP(J66,Index!$A:$A,Index!$B:$B),"")</f>
        <v>1854</v>
      </c>
    </row>
    <row r="67" spans="1:11" x14ac:dyDescent="0.25">
      <c r="A67" s="124"/>
      <c r="B67" s="180"/>
      <c r="C67" s="124"/>
      <c r="D67" s="124"/>
      <c r="E67" s="64" t="s">
        <v>2768</v>
      </c>
      <c r="F67" s="171">
        <v>3</v>
      </c>
      <c r="G67" s="172">
        <v>80</v>
      </c>
      <c r="H67" s="173">
        <v>29</v>
      </c>
      <c r="I67" s="174">
        <v>13</v>
      </c>
      <c r="J67" s="38" t="s">
        <v>6015</v>
      </c>
      <c r="K67" s="34">
        <f>IFERROR(_xlfn.XLOOKUP(J67,Index!$A:$A,Index!$B:$B),"")</f>
        <v>2051</v>
      </c>
    </row>
    <row r="68" spans="1:11" x14ac:dyDescent="0.25">
      <c r="A68" s="124"/>
      <c r="B68" s="180"/>
      <c r="C68" s="124"/>
      <c r="D68" s="124"/>
      <c r="E68" s="171" t="s">
        <v>2764</v>
      </c>
      <c r="F68" s="171">
        <v>4</v>
      </c>
      <c r="G68" s="172">
        <v>100</v>
      </c>
      <c r="H68" s="173">
        <v>33</v>
      </c>
      <c r="I68" s="174">
        <v>15</v>
      </c>
      <c r="J68" s="175" t="s">
        <v>6016</v>
      </c>
      <c r="K68" s="34">
        <f>IFERROR(_xlfn.XLOOKUP(J68,Index!$A:$A,Index!$B:$B),"")</f>
        <v>2454</v>
      </c>
    </row>
    <row r="69" spans="1:11" x14ac:dyDescent="0.25">
      <c r="A69" s="124"/>
      <c r="B69" s="180"/>
      <c r="C69" s="124"/>
      <c r="D69" s="124"/>
      <c r="E69" s="64" t="s">
        <v>2768</v>
      </c>
      <c r="F69" s="171">
        <v>4</v>
      </c>
      <c r="G69" s="172">
        <v>100</v>
      </c>
      <c r="H69" s="173">
        <v>37</v>
      </c>
      <c r="I69" s="174">
        <v>17</v>
      </c>
      <c r="J69" s="175" t="s">
        <v>6017</v>
      </c>
      <c r="K69" s="34">
        <f>IFERROR(_xlfn.XLOOKUP(J69,Index!$A:$A,Index!$B:$B),"")</f>
        <v>2660</v>
      </c>
    </row>
    <row r="70" spans="1:11" x14ac:dyDescent="0.25">
      <c r="A70" s="124"/>
      <c r="B70" s="180"/>
      <c r="C70" s="124"/>
      <c r="D70" s="124"/>
      <c r="E70" s="171" t="s">
        <v>2764</v>
      </c>
      <c r="F70" s="171">
        <v>6</v>
      </c>
      <c r="G70" s="172">
        <v>150</v>
      </c>
      <c r="H70" s="173">
        <v>51</v>
      </c>
      <c r="I70" s="174">
        <v>23</v>
      </c>
      <c r="J70" s="38" t="s">
        <v>6018</v>
      </c>
      <c r="K70" s="34">
        <f>IFERROR(_xlfn.XLOOKUP(J70,Index!$A:$A,Index!$B:$B),"")</f>
        <v>3359</v>
      </c>
    </row>
    <row r="71" spans="1:11" x14ac:dyDescent="0.25">
      <c r="A71" s="124"/>
      <c r="B71" s="180"/>
      <c r="C71" s="124"/>
      <c r="D71" s="124"/>
      <c r="E71" s="64" t="s">
        <v>2768</v>
      </c>
      <c r="F71" s="171">
        <v>6</v>
      </c>
      <c r="G71" s="172">
        <v>150</v>
      </c>
      <c r="H71" s="173">
        <v>53</v>
      </c>
      <c r="I71" s="174">
        <v>24</v>
      </c>
      <c r="J71" s="175" t="s">
        <v>6019</v>
      </c>
      <c r="K71" s="34">
        <f>IFERROR(_xlfn.XLOOKUP(J71,Index!$A:$A,Index!$B:$B),"")</f>
        <v>3544</v>
      </c>
    </row>
    <row r="72" spans="1:11" x14ac:dyDescent="0.25">
      <c r="A72" s="124"/>
      <c r="B72" s="180"/>
      <c r="C72" s="124"/>
      <c r="D72" s="124"/>
      <c r="E72" s="171" t="s">
        <v>2768</v>
      </c>
      <c r="F72" s="171">
        <v>8</v>
      </c>
      <c r="G72" s="172">
        <v>200</v>
      </c>
      <c r="H72" s="173">
        <v>82</v>
      </c>
      <c r="I72" s="174">
        <v>31</v>
      </c>
      <c r="J72" s="38" t="s">
        <v>6020</v>
      </c>
      <c r="K72" s="34">
        <f>IFERROR(_xlfn.XLOOKUP(J72,Index!$A:$A,Index!$B:$B),"")</f>
        <v>4924</v>
      </c>
    </row>
    <row r="73" spans="1:11" x14ac:dyDescent="0.25">
      <c r="A73" s="124"/>
      <c r="B73" s="180"/>
      <c r="C73" s="124"/>
      <c r="D73" s="124"/>
      <c r="E73" s="171" t="s">
        <v>2768</v>
      </c>
      <c r="F73" s="171">
        <v>10</v>
      </c>
      <c r="G73" s="172">
        <v>250</v>
      </c>
      <c r="H73" s="173">
        <v>121</v>
      </c>
      <c r="I73" s="174">
        <v>55</v>
      </c>
      <c r="J73" s="175" t="s">
        <v>6021</v>
      </c>
      <c r="K73" s="34">
        <f>IFERROR(_xlfn.XLOOKUP(J73,Index!$A:$A,Index!$B:$B),"")</f>
        <v>7583</v>
      </c>
    </row>
    <row r="74" spans="1:11" x14ac:dyDescent="0.25">
      <c r="A74" s="120"/>
      <c r="B74" s="181"/>
      <c r="C74" s="120"/>
      <c r="D74" s="120"/>
      <c r="E74" s="171" t="s">
        <v>2768</v>
      </c>
      <c r="F74" s="171">
        <v>12</v>
      </c>
      <c r="G74" s="172">
        <v>300</v>
      </c>
      <c r="H74" s="173">
        <v>179</v>
      </c>
      <c r="I74" s="174">
        <v>81</v>
      </c>
      <c r="J74" s="175" t="s">
        <v>6022</v>
      </c>
      <c r="K74" s="34">
        <f>IFERROR(_xlfn.XLOOKUP(J74,Index!$A:$A,Index!$B:$B),"")</f>
        <v>10319</v>
      </c>
    </row>
    <row r="75" spans="1:11" x14ac:dyDescent="0.25">
      <c r="B75" s="280"/>
      <c r="E75" s="325"/>
      <c r="F75" s="325"/>
      <c r="G75" s="326"/>
      <c r="H75" s="160"/>
      <c r="I75" s="157"/>
      <c r="J75" s="157"/>
      <c r="K75" s="84"/>
    </row>
    <row r="76" spans="1:11" ht="15.75" x14ac:dyDescent="0.25">
      <c r="A76" s="68" t="s">
        <v>6222</v>
      </c>
      <c r="G76" s="326"/>
      <c r="H76" s="160"/>
      <c r="I76" s="157"/>
      <c r="J76" s="157"/>
      <c r="K76" s="84"/>
    </row>
    <row r="77" spans="1:11" ht="15.75" x14ac:dyDescent="0.25">
      <c r="A77" s="48" t="s">
        <v>6256</v>
      </c>
      <c r="G77" s="326"/>
      <c r="H77" s="160"/>
      <c r="I77" s="157"/>
      <c r="J77" s="157"/>
      <c r="K77" s="84"/>
    </row>
    <row r="78" spans="1:11" x14ac:dyDescent="0.25">
      <c r="A78" s="102" t="s">
        <v>35</v>
      </c>
      <c r="B78" s="140" t="s">
        <v>103</v>
      </c>
      <c r="C78" s="335" t="s">
        <v>38</v>
      </c>
      <c r="D78" s="336"/>
      <c r="E78" s="42" t="s">
        <v>40</v>
      </c>
      <c r="F78" s="24" t="s">
        <v>41</v>
      </c>
      <c r="G78" s="326"/>
      <c r="H78" s="160"/>
      <c r="I78" s="157"/>
      <c r="J78" s="157"/>
      <c r="K78" s="84"/>
    </row>
    <row r="79" spans="1:11" x14ac:dyDescent="0.25">
      <c r="A79" s="96"/>
      <c r="B79" s="96"/>
      <c r="C79" s="33" t="s">
        <v>44</v>
      </c>
      <c r="D79" s="33" t="s">
        <v>45</v>
      </c>
      <c r="E79" s="104"/>
      <c r="F79" s="138"/>
      <c r="G79" s="326"/>
      <c r="H79" s="160"/>
      <c r="I79" s="157"/>
      <c r="J79" s="157"/>
      <c r="K79" s="84"/>
    </row>
    <row r="80" spans="1:11" x14ac:dyDescent="0.25">
      <c r="A80" s="146" t="s">
        <v>6257</v>
      </c>
      <c r="B80" s="236" t="s">
        <v>6258</v>
      </c>
      <c r="C80" s="328" t="s">
        <v>6243</v>
      </c>
      <c r="D80" s="323" t="s">
        <v>6269</v>
      </c>
      <c r="E80" s="38" t="s">
        <v>6262</v>
      </c>
      <c r="F80" s="34">
        <f>IFERROR(_xlfn.XLOOKUP(E80,Index!$A:$A,Index!$B:$B),"")</f>
        <v>329.5</v>
      </c>
    </row>
    <row r="81" spans="1:6" x14ac:dyDescent="0.25">
      <c r="A81" s="329"/>
      <c r="B81" s="237"/>
      <c r="C81" s="328" t="s">
        <v>6244</v>
      </c>
      <c r="D81" s="323" t="s">
        <v>6270</v>
      </c>
      <c r="E81" s="38" t="s">
        <v>6263</v>
      </c>
      <c r="F81" s="34">
        <f>IFERROR(_xlfn.XLOOKUP(E81,Index!$A:$A,Index!$B:$B),"")</f>
        <v>1002</v>
      </c>
    </row>
    <row r="82" spans="1:6" x14ac:dyDescent="0.25">
      <c r="A82" s="329"/>
      <c r="B82" s="237"/>
      <c r="C82" s="328" t="s">
        <v>6259</v>
      </c>
      <c r="D82" s="323" t="s">
        <v>6271</v>
      </c>
      <c r="E82" s="38" t="s">
        <v>6264</v>
      </c>
      <c r="F82" s="34">
        <f>IFERROR(_xlfn.XLOOKUP(E82,Index!$A:$A,Index!$B:$B),"")</f>
        <v>1044</v>
      </c>
    </row>
    <row r="83" spans="1:6" x14ac:dyDescent="0.25">
      <c r="A83" s="329"/>
      <c r="B83" s="237"/>
      <c r="C83" s="328" t="s">
        <v>6260</v>
      </c>
      <c r="D83" s="323" t="s">
        <v>6272</v>
      </c>
      <c r="E83" s="38" t="s">
        <v>6265</v>
      </c>
      <c r="F83" s="34">
        <f>IFERROR(_xlfn.XLOOKUP(E83,Index!$A:$A,Index!$B:$B),"")</f>
        <v>2100</v>
      </c>
    </row>
    <row r="84" spans="1:6" x14ac:dyDescent="0.25">
      <c r="A84" s="329"/>
      <c r="B84" s="237"/>
      <c r="C84" s="328" t="s">
        <v>6243</v>
      </c>
      <c r="D84" s="323" t="s">
        <v>6269</v>
      </c>
      <c r="E84" s="38" t="s">
        <v>6266</v>
      </c>
      <c r="F84" s="34">
        <f>IFERROR(_xlfn.XLOOKUP(E84,Index!$A:$A,Index!$B:$B),"")</f>
        <v>4.75</v>
      </c>
    </row>
    <row r="85" spans="1:6" x14ac:dyDescent="0.25">
      <c r="A85" s="329"/>
      <c r="B85" s="237"/>
      <c r="C85" s="328" t="s">
        <v>6261</v>
      </c>
      <c r="D85" s="323" t="s">
        <v>6273</v>
      </c>
      <c r="E85" s="38" t="s">
        <v>6267</v>
      </c>
      <c r="F85" s="34">
        <f>IFERROR(_xlfn.XLOOKUP(E85,Index!$A:$A,Index!$B:$B),"")</f>
        <v>6.75</v>
      </c>
    </row>
    <row r="86" spans="1:6" x14ac:dyDescent="0.25">
      <c r="A86" s="330"/>
      <c r="B86" s="331"/>
      <c r="C86" s="328" t="s">
        <v>6260</v>
      </c>
      <c r="D86" s="323" t="s">
        <v>6272</v>
      </c>
      <c r="E86" s="38" t="s">
        <v>6268</v>
      </c>
      <c r="F86" s="34">
        <f>IFERROR(_xlfn.XLOOKUP(E86,Index!$A:$A,Index!$B:$B),"")</f>
        <v>8.25</v>
      </c>
    </row>
    <row r="87" spans="1:6" x14ac:dyDescent="0.25">
      <c r="C87" s="327"/>
    </row>
    <row r="88" spans="1:6" x14ac:dyDescent="0.25">
      <c r="C88" s="327"/>
    </row>
    <row r="90" spans="1:6" ht="15.75" x14ac:dyDescent="0.25">
      <c r="A90" s="68" t="s">
        <v>6222</v>
      </c>
    </row>
    <row r="91" spans="1:6" ht="15.75" x14ac:dyDescent="0.25">
      <c r="A91" s="48" t="s">
        <v>102</v>
      </c>
    </row>
    <row r="92" spans="1:6" x14ac:dyDescent="0.25">
      <c r="A92" s="102" t="s">
        <v>35</v>
      </c>
      <c r="B92" s="140" t="s">
        <v>103</v>
      </c>
      <c r="C92" s="335" t="s">
        <v>38</v>
      </c>
      <c r="D92" s="336"/>
      <c r="E92" s="42" t="s">
        <v>40</v>
      </c>
      <c r="F92" s="24" t="s">
        <v>41</v>
      </c>
    </row>
    <row r="93" spans="1:6" x14ac:dyDescent="0.25">
      <c r="A93" s="96"/>
      <c r="B93" s="96"/>
      <c r="C93" s="33" t="s">
        <v>44</v>
      </c>
      <c r="D93" s="33" t="s">
        <v>45</v>
      </c>
      <c r="E93" s="104"/>
      <c r="F93" s="138"/>
    </row>
    <row r="94" spans="1:6" x14ac:dyDescent="0.25">
      <c r="A94" s="146" t="s">
        <v>6223</v>
      </c>
      <c r="B94" s="146" t="s">
        <v>6224</v>
      </c>
      <c r="C94" s="320" t="s">
        <v>6225</v>
      </c>
      <c r="D94" s="323" t="s">
        <v>6228</v>
      </c>
      <c r="E94" s="38" t="s">
        <v>6229</v>
      </c>
      <c r="F94" s="34">
        <f>IFERROR(_xlfn.XLOOKUP(E94,Index!$A:$A,Index!$B:$B),"")</f>
        <v>23.25</v>
      </c>
    </row>
    <row r="95" spans="1:6" x14ac:dyDescent="0.25">
      <c r="A95" s="99"/>
      <c r="B95" s="144"/>
      <c r="C95" s="321" t="s">
        <v>6226</v>
      </c>
      <c r="D95" s="323" t="s">
        <v>6274</v>
      </c>
      <c r="E95" s="38" t="s">
        <v>6230</v>
      </c>
      <c r="F95" s="34">
        <f>IFERROR(_xlfn.XLOOKUP(E95,Index!$A:$A,Index!$B:$B),"")</f>
        <v>57.75</v>
      </c>
    </row>
    <row r="96" spans="1:6" x14ac:dyDescent="0.25">
      <c r="A96" s="99"/>
      <c r="B96" s="99"/>
      <c r="C96" s="322" t="s">
        <v>6227</v>
      </c>
      <c r="D96" s="323" t="s">
        <v>6275</v>
      </c>
      <c r="E96" s="38" t="s">
        <v>6231</v>
      </c>
      <c r="F96" s="34">
        <f>IFERROR(_xlfn.XLOOKUP(E96,Index!$A:$A,Index!$B:$B),"")</f>
        <v>104</v>
      </c>
    </row>
    <row r="97" spans="1:6" x14ac:dyDescent="0.25">
      <c r="A97" s="146" t="s">
        <v>6232</v>
      </c>
      <c r="B97" s="146" t="s">
        <v>6224</v>
      </c>
      <c r="C97" s="320" t="s">
        <v>6233</v>
      </c>
      <c r="D97" s="323" t="s">
        <v>6276</v>
      </c>
      <c r="E97" s="38" t="s">
        <v>6237</v>
      </c>
      <c r="F97" s="34">
        <f>IFERROR(_xlfn.XLOOKUP(E97,Index!$A:$A,Index!$B:$B),"")</f>
        <v>32.5</v>
      </c>
    </row>
    <row r="98" spans="1:6" x14ac:dyDescent="0.25">
      <c r="A98" s="99"/>
      <c r="B98" s="144"/>
      <c r="C98" s="321" t="s">
        <v>6234</v>
      </c>
      <c r="D98" s="323" t="s">
        <v>6277</v>
      </c>
      <c r="E98" s="38" t="s">
        <v>6238</v>
      </c>
      <c r="F98" s="34">
        <f>IFERROR(_xlfn.XLOOKUP(E98,Index!$A:$A,Index!$B:$B),"")</f>
        <v>50</v>
      </c>
    </row>
    <row r="99" spans="1:6" x14ac:dyDescent="0.25">
      <c r="A99" s="99"/>
      <c r="B99" s="99"/>
      <c r="C99" s="322" t="s">
        <v>6235</v>
      </c>
      <c r="D99" s="323" t="s">
        <v>6278</v>
      </c>
      <c r="E99" s="38" t="s">
        <v>6239</v>
      </c>
      <c r="F99" s="34">
        <f>IFERROR(_xlfn.XLOOKUP(E99,Index!$A:$A,Index!$B:$B),"")</f>
        <v>69.5</v>
      </c>
    </row>
    <row r="100" spans="1:6" x14ac:dyDescent="0.25">
      <c r="A100" s="99"/>
      <c r="B100" s="99"/>
      <c r="C100" s="322" t="s">
        <v>6236</v>
      </c>
      <c r="D100" s="323" t="s">
        <v>6279</v>
      </c>
      <c r="E100" s="38" t="s">
        <v>6240</v>
      </c>
      <c r="F100" s="34">
        <f>IFERROR(_xlfn.XLOOKUP(E100,Index!$A:$A,Index!$B:$B),"")</f>
        <v>123</v>
      </c>
    </row>
    <row r="101" spans="1:6" x14ac:dyDescent="0.25">
      <c r="A101" s="99"/>
      <c r="B101" s="99"/>
      <c r="C101" s="36">
        <v>24</v>
      </c>
      <c r="D101" s="98">
        <v>600</v>
      </c>
      <c r="E101" s="38" t="s">
        <v>6241</v>
      </c>
      <c r="F101" s="34">
        <f>IFERROR(_xlfn.XLOOKUP(E101,Index!$A:$A,Index!$B:$B),"")</f>
        <v>181.5</v>
      </c>
    </row>
    <row r="102" spans="1:6" x14ac:dyDescent="0.25">
      <c r="A102" s="99"/>
      <c r="B102" s="99"/>
      <c r="C102" s="322" t="s">
        <v>6280</v>
      </c>
      <c r="D102" s="98">
        <v>300</v>
      </c>
      <c r="E102" s="38" t="s">
        <v>6242</v>
      </c>
      <c r="F102" s="34">
        <f>IFERROR(_xlfn.XLOOKUP(E102,Index!$A:$A,Index!$B:$B),"")</f>
        <v>181.5</v>
      </c>
    </row>
    <row r="103" spans="1:6" x14ac:dyDescent="0.25">
      <c r="A103" s="146" t="s">
        <v>6007</v>
      </c>
      <c r="B103" s="146" t="s">
        <v>6224</v>
      </c>
      <c r="C103" s="320" t="s">
        <v>6243</v>
      </c>
      <c r="D103" s="323" t="s">
        <v>6269</v>
      </c>
      <c r="E103" s="38">
        <v>1000000268</v>
      </c>
      <c r="F103" s="34">
        <f>IFERROR(_xlfn.XLOOKUP(E103,Index!$A:$A,Index!$B:$B),"")</f>
        <v>80</v>
      </c>
    </row>
    <row r="104" spans="1:6" x14ac:dyDescent="0.25">
      <c r="A104" s="99"/>
      <c r="B104" s="144"/>
      <c r="C104" s="324" t="s">
        <v>6244</v>
      </c>
      <c r="D104" s="323" t="s">
        <v>6270</v>
      </c>
      <c r="E104" s="38">
        <v>1000000269</v>
      </c>
      <c r="F104" s="34">
        <f>IFERROR(_xlfn.XLOOKUP(E104,Index!$A:$A,Index!$B:$B),"")</f>
        <v>123</v>
      </c>
    </row>
    <row r="105" spans="1:6" x14ac:dyDescent="0.25">
      <c r="A105" s="132" t="s">
        <v>6223</v>
      </c>
      <c r="B105" s="132" t="s">
        <v>6245</v>
      </c>
      <c r="C105" s="322" t="s">
        <v>6247</v>
      </c>
      <c r="D105" s="323" t="s">
        <v>6281</v>
      </c>
      <c r="E105" s="38">
        <v>1000000257</v>
      </c>
      <c r="F105" s="34">
        <f>IFERROR(_xlfn.XLOOKUP(E105,Index!$A:$A,Index!$B:$B),"")</f>
        <v>34.5</v>
      </c>
    </row>
    <row r="106" spans="1:6" x14ac:dyDescent="0.25">
      <c r="A106" s="99"/>
      <c r="B106" s="99" t="s">
        <v>6246</v>
      </c>
      <c r="C106" s="322" t="s">
        <v>6248</v>
      </c>
      <c r="D106" s="323" t="s">
        <v>6282</v>
      </c>
      <c r="E106" s="38">
        <v>1000000258</v>
      </c>
      <c r="F106" s="34">
        <f>IFERROR(_xlfn.XLOOKUP(E106,Index!$A:$A,Index!$B:$B),"")</f>
        <v>47.5</v>
      </c>
    </row>
    <row r="107" spans="1:6" x14ac:dyDescent="0.25">
      <c r="A107" s="99"/>
      <c r="B107" s="99"/>
      <c r="C107" s="322" t="s">
        <v>6249</v>
      </c>
      <c r="D107" s="323" t="s">
        <v>6283</v>
      </c>
      <c r="E107" s="38">
        <v>1000000259</v>
      </c>
      <c r="F107" s="34">
        <f>IFERROR(_xlfn.XLOOKUP(E107,Index!$A:$A,Index!$B:$B),"")</f>
        <v>69.5</v>
      </c>
    </row>
    <row r="108" spans="1:6" x14ac:dyDescent="0.25">
      <c r="A108" s="99"/>
      <c r="B108" s="99"/>
      <c r="C108" s="322" t="s">
        <v>6250</v>
      </c>
      <c r="D108" s="323" t="s">
        <v>6284</v>
      </c>
      <c r="E108" s="38">
        <v>1000000260</v>
      </c>
      <c r="F108" s="34">
        <f>IFERROR(_xlfn.XLOOKUP(E108,Index!$A:$A,Index!$B:$B),"")</f>
        <v>84.5</v>
      </c>
    </row>
    <row r="109" spans="1:6" x14ac:dyDescent="0.25">
      <c r="A109" s="132" t="s">
        <v>6232</v>
      </c>
      <c r="B109" s="132" t="s">
        <v>6245</v>
      </c>
      <c r="C109" s="322" t="s">
        <v>6251</v>
      </c>
      <c r="D109" s="323" t="s">
        <v>6285</v>
      </c>
      <c r="E109" s="38">
        <v>1000000261</v>
      </c>
      <c r="F109" s="34">
        <f>IFERROR(_xlfn.XLOOKUP(E109,Index!$A:$A,Index!$B:$B),"")</f>
        <v>47.5</v>
      </c>
    </row>
    <row r="110" spans="1:6" x14ac:dyDescent="0.25">
      <c r="A110" s="99"/>
      <c r="B110" s="99" t="s">
        <v>6246</v>
      </c>
      <c r="C110" s="322" t="s">
        <v>6252</v>
      </c>
      <c r="D110" s="323" t="s">
        <v>6286</v>
      </c>
      <c r="E110" s="38">
        <v>1000000262</v>
      </c>
      <c r="F110" s="34">
        <f>IFERROR(_xlfn.XLOOKUP(E110,Index!$A:$A,Index!$B:$B),"")</f>
        <v>69.5</v>
      </c>
    </row>
    <row r="111" spans="1:6" x14ac:dyDescent="0.25">
      <c r="A111" s="99"/>
      <c r="B111" s="99"/>
      <c r="C111" s="322" t="s">
        <v>6253</v>
      </c>
      <c r="D111" s="323" t="s">
        <v>6287</v>
      </c>
      <c r="E111" s="38">
        <v>1000000263</v>
      </c>
      <c r="F111" s="34">
        <f>IFERROR(_xlfn.XLOOKUP(E111,Index!$A:$A,Index!$B:$B),"")</f>
        <v>84.5</v>
      </c>
    </row>
    <row r="112" spans="1:6" x14ac:dyDescent="0.25">
      <c r="A112" s="132" t="s">
        <v>6007</v>
      </c>
      <c r="B112" s="132" t="s">
        <v>6254</v>
      </c>
      <c r="C112" s="322" t="s">
        <v>6233</v>
      </c>
      <c r="D112" s="323" t="s">
        <v>6276</v>
      </c>
      <c r="E112" s="38">
        <v>1000000270</v>
      </c>
      <c r="F112" s="34">
        <f>IFERROR(_xlfn.XLOOKUP(E112,Index!$A:$A,Index!$B:$B),"")</f>
        <v>140</v>
      </c>
    </row>
    <row r="113" spans="1:6" x14ac:dyDescent="0.25">
      <c r="A113" s="99"/>
      <c r="B113" s="99"/>
      <c r="C113" s="322">
        <v>6</v>
      </c>
      <c r="D113" s="98">
        <v>150</v>
      </c>
      <c r="E113" s="38">
        <v>1000000271</v>
      </c>
      <c r="F113" s="34">
        <f>IFERROR(_xlfn.XLOOKUP(E113,Index!$A:$A,Index!$B:$B),"")</f>
        <v>168</v>
      </c>
    </row>
    <row r="114" spans="1:6" x14ac:dyDescent="0.25">
      <c r="A114" s="132" t="s">
        <v>6007</v>
      </c>
      <c r="B114" s="132" t="s">
        <v>6255</v>
      </c>
      <c r="C114" s="322" t="s">
        <v>6243</v>
      </c>
      <c r="D114" s="323" t="s">
        <v>6269</v>
      </c>
      <c r="E114" s="38">
        <v>1000000265</v>
      </c>
      <c r="F114" s="34">
        <f>IFERROR(_xlfn.XLOOKUP(E114,Index!$A:$A,Index!$B:$B),"")</f>
        <v>448</v>
      </c>
    </row>
    <row r="115" spans="1:6" x14ac:dyDescent="0.25">
      <c r="A115" s="99"/>
      <c r="B115" s="99"/>
      <c r="C115" s="322" t="s">
        <v>6235</v>
      </c>
      <c r="D115" s="323" t="s">
        <v>6278</v>
      </c>
      <c r="E115" s="38">
        <v>1000000266</v>
      </c>
      <c r="F115" s="34">
        <f>IFERROR(_xlfn.XLOOKUP(E115,Index!$A:$A,Index!$B:$B),"")</f>
        <v>541</v>
      </c>
    </row>
    <row r="116" spans="1:6" x14ac:dyDescent="0.25">
      <c r="A116" s="121"/>
      <c r="B116" s="121"/>
      <c r="C116" s="322">
        <v>12</v>
      </c>
      <c r="D116" s="98">
        <v>300</v>
      </c>
      <c r="E116" s="38">
        <v>1000000267</v>
      </c>
      <c r="F116" s="34">
        <f>IFERROR(_xlfn.XLOOKUP(E116,Index!$A:$A,Index!$B:$B),"")</f>
        <v>692</v>
      </c>
    </row>
    <row r="117" spans="1:6" x14ac:dyDescent="0.25">
      <c r="A117" s="60" t="s">
        <v>6223</v>
      </c>
      <c r="B117" s="60" t="s">
        <v>6255</v>
      </c>
      <c r="C117" s="322">
        <v>4</v>
      </c>
      <c r="D117" s="323">
        <v>100</v>
      </c>
      <c r="E117" s="38" t="s">
        <v>6318</v>
      </c>
      <c r="F117" s="34">
        <f>IFERROR(_xlfn.XLOOKUP(E117,Index!$A:$A,Index!$B:$B),"")</f>
        <v>448</v>
      </c>
    </row>
    <row r="118" spans="1:6" x14ac:dyDescent="0.25">
      <c r="A118" s="124"/>
      <c r="B118" s="124"/>
      <c r="C118" s="322">
        <v>6</v>
      </c>
      <c r="D118" s="323">
        <v>150</v>
      </c>
      <c r="E118" s="38" t="s">
        <v>6327</v>
      </c>
      <c r="F118" s="34">
        <f>IFERROR(_xlfn.XLOOKUP(E118,Index!$A:$A,Index!$B:$B),"")</f>
        <v>448</v>
      </c>
    </row>
    <row r="119" spans="1:6" x14ac:dyDescent="0.25">
      <c r="A119" s="124"/>
      <c r="B119" s="124"/>
      <c r="C119" s="322">
        <v>8</v>
      </c>
      <c r="D119" s="323">
        <v>200</v>
      </c>
      <c r="E119" s="38" t="s">
        <v>6326</v>
      </c>
      <c r="F119" s="34">
        <f>IFERROR(_xlfn.XLOOKUP(E119,Index!$A:$A,Index!$B:$B),"")</f>
        <v>541</v>
      </c>
    </row>
    <row r="120" spans="1:6" x14ac:dyDescent="0.25">
      <c r="A120" s="124"/>
      <c r="B120" s="124"/>
      <c r="C120" s="322">
        <v>10</v>
      </c>
      <c r="D120" s="323">
        <v>250</v>
      </c>
      <c r="E120" s="38" t="s">
        <v>6325</v>
      </c>
      <c r="F120" s="34">
        <f>IFERROR(_xlfn.XLOOKUP(E120,Index!$A:$A,Index!$B:$B),"")</f>
        <v>541</v>
      </c>
    </row>
    <row r="121" spans="1:6" x14ac:dyDescent="0.25">
      <c r="A121" s="124"/>
      <c r="B121" s="124"/>
      <c r="C121" s="322">
        <v>12</v>
      </c>
      <c r="D121" s="323">
        <v>300</v>
      </c>
      <c r="E121" s="38" t="s">
        <v>6324</v>
      </c>
      <c r="F121" s="34">
        <f>IFERROR(_xlfn.XLOOKUP(E121,Index!$A:$A,Index!$B:$B),"")</f>
        <v>692</v>
      </c>
    </row>
    <row r="122" spans="1:6" x14ac:dyDescent="0.25">
      <c r="A122" s="124"/>
      <c r="B122" s="124"/>
      <c r="C122" s="322">
        <v>14</v>
      </c>
      <c r="D122" s="323">
        <v>350</v>
      </c>
      <c r="E122" s="38" t="s">
        <v>6321</v>
      </c>
      <c r="F122" s="34">
        <f>IFERROR(_xlfn.XLOOKUP(E122,Index!$A:$A,Index!$B:$B),"")</f>
        <v>692</v>
      </c>
    </row>
    <row r="123" spans="1:6" x14ac:dyDescent="0.25">
      <c r="A123" s="124"/>
      <c r="B123" s="124"/>
      <c r="C123" s="322">
        <v>16</v>
      </c>
      <c r="D123" s="323">
        <v>400</v>
      </c>
      <c r="E123" s="38" t="s">
        <v>6322</v>
      </c>
      <c r="F123" s="34">
        <f>IFERROR(_xlfn.XLOOKUP(E123,Index!$A:$A,Index!$B:$B),"")</f>
        <v>845</v>
      </c>
    </row>
    <row r="124" spans="1:6" x14ac:dyDescent="0.25">
      <c r="A124" s="124"/>
      <c r="B124" s="124"/>
      <c r="C124" s="322">
        <v>18</v>
      </c>
      <c r="D124" s="323">
        <v>450</v>
      </c>
      <c r="E124" s="38" t="s">
        <v>6323</v>
      </c>
      <c r="F124" s="34">
        <f>IFERROR(_xlfn.XLOOKUP(E124,Index!$A:$A,Index!$B:$B),"")</f>
        <v>845</v>
      </c>
    </row>
    <row r="125" spans="1:6" x14ac:dyDescent="0.25">
      <c r="A125" s="124"/>
      <c r="B125" s="124"/>
      <c r="C125" s="322">
        <v>20</v>
      </c>
      <c r="D125" s="323">
        <v>500</v>
      </c>
      <c r="E125" s="38" t="s">
        <v>6319</v>
      </c>
      <c r="F125" s="34">
        <f>IFERROR(_xlfn.XLOOKUP(E125,Index!$A:$A,Index!$B:$B),"")</f>
        <v>1010</v>
      </c>
    </row>
    <row r="126" spans="1:6" x14ac:dyDescent="0.25">
      <c r="A126" s="120"/>
      <c r="B126" s="120"/>
      <c r="C126" s="322">
        <v>24</v>
      </c>
      <c r="D126" s="323">
        <v>600</v>
      </c>
      <c r="E126" s="38" t="s">
        <v>6320</v>
      </c>
      <c r="F126" s="34">
        <f>IFERROR(_xlfn.XLOOKUP(E126,Index!$A:$A,Index!$B:$B),"")</f>
        <v>1010</v>
      </c>
    </row>
  </sheetData>
  <mergeCells count="11">
    <mergeCell ref="B4:D4"/>
    <mergeCell ref="B34:D34"/>
    <mergeCell ref="H4:I4"/>
    <mergeCell ref="F4:G4"/>
    <mergeCell ref="H34:I34"/>
    <mergeCell ref="F34:G34"/>
    <mergeCell ref="B60:D60"/>
    <mergeCell ref="F60:G60"/>
    <mergeCell ref="H60:I60"/>
    <mergeCell ref="C92:D92"/>
    <mergeCell ref="C78:D78"/>
  </mergeCells>
  <phoneticPr fontId="51" type="noConversion"/>
  <conditionalFormatting sqref="D79:D86">
    <cfRule type="expression" dxfId="34" priority="11">
      <formula>D79="Not a valid item #"</formula>
    </cfRule>
    <cfRule type="expression" dxfId="33" priority="12">
      <formula>D79="Not in NPSLS"</formula>
    </cfRule>
    <cfRule type="expression" dxfId="32" priority="13">
      <formula>D79="Obsolete"</formula>
    </cfRule>
    <cfRule type="expression" dxfId="31" priority="14">
      <formula>D79=""</formula>
    </cfRule>
    <cfRule type="expression" dxfId="30" priority="15">
      <formula>D79="List Price"</formula>
    </cfRule>
  </conditionalFormatting>
  <conditionalFormatting sqref="D93:D126">
    <cfRule type="expression" dxfId="29" priority="1">
      <formula>D93="Not a valid item #"</formula>
    </cfRule>
    <cfRule type="expression" dxfId="28" priority="2">
      <formula>D93="Not in NPSLS"</formula>
    </cfRule>
    <cfRule type="expression" dxfId="27" priority="3">
      <formula>D93="Obsolete"</formula>
    </cfRule>
    <cfRule type="expression" dxfId="26" priority="4">
      <formula>D93=""</formula>
    </cfRule>
    <cfRule type="expression" dxfId="25" priority="5">
      <formula>D93="List Price"</formula>
    </cfRule>
  </conditionalFormatting>
  <conditionalFormatting sqref="G5:G30 G35:G56">
    <cfRule type="expression" dxfId="24" priority="46">
      <formula>G5="Not a valid item #"</formula>
    </cfRule>
    <cfRule type="expression" dxfId="23" priority="47">
      <formula>G5="Not in NPSLS"</formula>
    </cfRule>
    <cfRule type="expression" dxfId="22" priority="48">
      <formula>G5="Obsolete"</formula>
    </cfRule>
    <cfRule type="expression" dxfId="21" priority="49">
      <formula>G5=""</formula>
    </cfRule>
    <cfRule type="expression" dxfId="20" priority="50">
      <formula>G5="List Price"</formula>
    </cfRule>
  </conditionalFormatting>
  <conditionalFormatting sqref="G61:G79">
    <cfRule type="expression" dxfId="19" priority="26">
      <formula>G61="Not a valid item #"</formula>
    </cfRule>
    <cfRule type="expression" dxfId="18" priority="27">
      <formula>G61="Not in NPSLS"</formula>
    </cfRule>
    <cfRule type="expression" dxfId="17" priority="28">
      <formula>G61="Obsolete"</formula>
    </cfRule>
    <cfRule type="expression" dxfId="16" priority="29">
      <formula>G61=""</formula>
    </cfRule>
    <cfRule type="expression" dxfId="15" priority="30">
      <formula>G61="List Price"</formula>
    </cfRule>
  </conditionalFormatting>
  <conditionalFormatting sqref="H2:H3">
    <cfRule type="expression" dxfId="14" priority="41">
      <formula>H2="Not a valid item #"</formula>
    </cfRule>
    <cfRule type="expression" dxfId="13" priority="42">
      <formula>H2="Not in NPSLS"</formula>
    </cfRule>
    <cfRule type="expression" dxfId="12" priority="43">
      <formula>H2="Obsolete"</formula>
    </cfRule>
    <cfRule type="expression" dxfId="11" priority="44">
      <formula>H2=""</formula>
    </cfRule>
    <cfRule type="expression" dxfId="10" priority="45">
      <formula>H2="List Price"</formula>
    </cfRule>
  </conditionalFormatting>
  <conditionalFormatting sqref="H32:H33">
    <cfRule type="expression" dxfId="9" priority="31">
      <formula>H32="Not a valid item #"</formula>
    </cfRule>
    <cfRule type="expression" dxfId="8" priority="32">
      <formula>H32="Not in NPSLS"</formula>
    </cfRule>
    <cfRule type="expression" dxfId="7" priority="33">
      <formula>H32="Obsolete"</formula>
    </cfRule>
    <cfRule type="expression" dxfId="6" priority="34">
      <formula>H32=""</formula>
    </cfRule>
    <cfRule type="expression" dxfId="5" priority="35">
      <formula>H32="List Price"</formula>
    </cfRule>
  </conditionalFormatting>
  <conditionalFormatting sqref="H58:H59">
    <cfRule type="expression" dxfId="4" priority="21">
      <formula>H58="Not a valid item #"</formula>
    </cfRule>
    <cfRule type="expression" dxfId="3" priority="22">
      <formula>H58="Not in NPSLS"</formula>
    </cfRule>
    <cfRule type="expression" dxfId="2" priority="23">
      <formula>H58="Obsolete"</formula>
    </cfRule>
    <cfRule type="expression" dxfId="1" priority="24">
      <formula>H58=""</formula>
    </cfRule>
    <cfRule type="expression" dxfId="0" priority="25">
      <formula>H58="List Price"</formula>
    </cfRule>
  </conditionalFormatting>
  <hyperlinks>
    <hyperlink ref="A1" location="'Table of Contents'!A1" display="Return Home" xr:uid="{2D0893C9-3E27-4475-B378-CB969CAADD9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78A2-94A8-4294-96F5-68177511DC61}">
  <sheetPr codeName="Sheet20"/>
  <dimension ref="A2:F274"/>
  <sheetViews>
    <sheetView showGridLines="0" workbookViewId="0"/>
  </sheetViews>
  <sheetFormatPr defaultRowHeight="15" x14ac:dyDescent="0.25"/>
  <cols>
    <col min="1" max="1" width="34.28515625" customWidth="1"/>
    <col min="2" max="2" width="23.28515625" customWidth="1"/>
    <col min="3" max="3" width="21.85546875" customWidth="1"/>
    <col min="4" max="4" width="24.85546875" customWidth="1"/>
  </cols>
  <sheetData>
    <row r="2" spans="1:5" ht="15.75" x14ac:dyDescent="0.25">
      <c r="A2" s="48" t="s">
        <v>5852</v>
      </c>
    </row>
    <row r="5" spans="1:5" ht="15.75" x14ac:dyDescent="0.25">
      <c r="A5" s="217" t="s">
        <v>5846</v>
      </c>
    </row>
    <row r="6" spans="1:5" ht="15.75" x14ac:dyDescent="0.25">
      <c r="A6" s="48" t="s">
        <v>5853</v>
      </c>
    </row>
    <row r="7" spans="1:5" ht="24" x14ac:dyDescent="0.25">
      <c r="A7" s="140" t="s">
        <v>5856</v>
      </c>
      <c r="B7" s="281" t="s">
        <v>5854</v>
      </c>
      <c r="C7" s="281" t="s">
        <v>5848</v>
      </c>
    </row>
    <row r="8" spans="1:5" x14ac:dyDescent="0.25">
      <c r="A8" s="282" t="s">
        <v>5849</v>
      </c>
      <c r="B8" s="282" t="s">
        <v>5850</v>
      </c>
      <c r="C8" s="294">
        <v>0.05</v>
      </c>
    </row>
    <row r="9" spans="1:5" x14ac:dyDescent="0.25">
      <c r="A9" s="283" t="s">
        <v>5851</v>
      </c>
      <c r="B9" s="283" t="s">
        <v>5850</v>
      </c>
      <c r="C9" s="295">
        <v>7.0000000000000007E-2</v>
      </c>
    </row>
    <row r="11" spans="1:5" ht="15.75" x14ac:dyDescent="0.25">
      <c r="A11" s="48" t="s">
        <v>5855</v>
      </c>
    </row>
    <row r="12" spans="1:5" ht="24" x14ac:dyDescent="0.25">
      <c r="A12" s="140" t="s">
        <v>5856</v>
      </c>
      <c r="B12" s="281" t="s">
        <v>5861</v>
      </c>
      <c r="C12" s="281" t="s">
        <v>5848</v>
      </c>
    </row>
    <row r="13" spans="1:5" x14ac:dyDescent="0.25">
      <c r="A13" s="282" t="s">
        <v>5858</v>
      </c>
      <c r="B13" s="64">
        <v>0.25</v>
      </c>
      <c r="C13" s="292">
        <v>70.5</v>
      </c>
      <c r="D13" s="307"/>
      <c r="E13" s="308"/>
    </row>
    <row r="14" spans="1:5" x14ac:dyDescent="0.25">
      <c r="A14" s="286"/>
      <c r="B14" s="64">
        <v>0.375</v>
      </c>
      <c r="C14" s="292">
        <v>70.5</v>
      </c>
      <c r="D14" s="307"/>
    </row>
    <row r="15" spans="1:5" x14ac:dyDescent="0.25">
      <c r="A15" s="124"/>
      <c r="B15" s="64">
        <v>0.5</v>
      </c>
      <c r="C15" s="292">
        <v>70.5</v>
      </c>
      <c r="D15" s="307"/>
    </row>
    <row r="16" spans="1:5" x14ac:dyDescent="0.25">
      <c r="A16" s="124"/>
      <c r="B16" s="64">
        <v>0.75</v>
      </c>
      <c r="C16" s="293">
        <v>99.25</v>
      </c>
      <c r="D16" s="307"/>
    </row>
    <row r="17" spans="1:4" x14ac:dyDescent="0.25">
      <c r="A17" s="124"/>
      <c r="B17" s="64">
        <v>1</v>
      </c>
      <c r="C17" s="293">
        <v>179</v>
      </c>
      <c r="D17" s="307"/>
    </row>
    <row r="18" spans="1:4" x14ac:dyDescent="0.25">
      <c r="A18" s="124"/>
      <c r="B18" s="64">
        <v>1.25</v>
      </c>
      <c r="C18" s="293">
        <v>189.5</v>
      </c>
      <c r="D18" s="307"/>
    </row>
    <row r="19" spans="1:4" x14ac:dyDescent="0.25">
      <c r="A19" s="124"/>
      <c r="B19" s="64">
        <v>1.5</v>
      </c>
      <c r="C19" s="293">
        <v>245.5</v>
      </c>
      <c r="D19" s="307"/>
    </row>
    <row r="20" spans="1:4" x14ac:dyDescent="0.25">
      <c r="A20" s="124"/>
      <c r="B20" s="64">
        <v>2</v>
      </c>
      <c r="C20" s="293">
        <v>361.5</v>
      </c>
      <c r="D20" s="307"/>
    </row>
    <row r="21" spans="1:4" x14ac:dyDescent="0.25">
      <c r="A21" s="124"/>
      <c r="B21" s="64">
        <v>2.5</v>
      </c>
      <c r="C21" s="293">
        <v>463.75</v>
      </c>
      <c r="D21" s="307"/>
    </row>
    <row r="22" spans="1:4" x14ac:dyDescent="0.25">
      <c r="A22" s="124"/>
      <c r="B22" s="64">
        <v>3</v>
      </c>
      <c r="C22" s="293">
        <v>603.75</v>
      </c>
      <c r="D22" s="307"/>
    </row>
    <row r="23" spans="1:4" x14ac:dyDescent="0.25">
      <c r="A23" s="120"/>
      <c r="B23" s="64">
        <v>4</v>
      </c>
      <c r="C23" s="293">
        <v>1123</v>
      </c>
      <c r="D23" s="307"/>
    </row>
    <row r="24" spans="1:4" x14ac:dyDescent="0.25">
      <c r="A24" s="282" t="s">
        <v>5851</v>
      </c>
      <c r="B24" s="64">
        <v>0.25</v>
      </c>
      <c r="C24" s="292">
        <v>140.5</v>
      </c>
      <c r="D24" s="307"/>
    </row>
    <row r="25" spans="1:4" x14ac:dyDescent="0.25">
      <c r="A25" s="286"/>
      <c r="B25" s="64">
        <v>0.375</v>
      </c>
      <c r="C25" s="292">
        <v>140.5</v>
      </c>
      <c r="D25" s="307"/>
    </row>
    <row r="26" spans="1:4" x14ac:dyDescent="0.25">
      <c r="A26" s="124"/>
      <c r="B26" s="64">
        <v>0.5</v>
      </c>
      <c r="C26" s="292">
        <v>140.5</v>
      </c>
      <c r="D26" s="307"/>
    </row>
    <row r="27" spans="1:4" x14ac:dyDescent="0.25">
      <c r="A27" s="124"/>
      <c r="B27" s="64">
        <v>0.75</v>
      </c>
      <c r="C27" s="292">
        <v>198.25</v>
      </c>
      <c r="D27" s="307"/>
    </row>
    <row r="28" spans="1:4" x14ac:dyDescent="0.25">
      <c r="A28" s="124"/>
      <c r="B28" s="64">
        <v>1</v>
      </c>
      <c r="C28" s="292">
        <v>357.75</v>
      </c>
      <c r="D28" s="307"/>
    </row>
    <row r="29" spans="1:4" x14ac:dyDescent="0.25">
      <c r="A29" s="124"/>
      <c r="B29" s="64">
        <v>1.25</v>
      </c>
      <c r="C29" s="292">
        <v>378.75</v>
      </c>
      <c r="D29" s="307"/>
    </row>
    <row r="30" spans="1:4" x14ac:dyDescent="0.25">
      <c r="A30" s="124"/>
      <c r="B30" s="64">
        <v>1.5</v>
      </c>
      <c r="C30" s="292">
        <v>490</v>
      </c>
      <c r="D30" s="307"/>
    </row>
    <row r="31" spans="1:4" x14ac:dyDescent="0.25">
      <c r="A31" s="124"/>
      <c r="B31" s="64">
        <v>2</v>
      </c>
      <c r="C31" s="292">
        <v>723.75</v>
      </c>
      <c r="D31" s="307"/>
    </row>
    <row r="32" spans="1:4" x14ac:dyDescent="0.25">
      <c r="A32" s="124"/>
      <c r="B32" s="64">
        <v>2.5</v>
      </c>
      <c r="C32" s="292">
        <v>926.25</v>
      </c>
      <c r="D32" s="307"/>
    </row>
    <row r="33" spans="1:4" x14ac:dyDescent="0.25">
      <c r="A33" s="124"/>
      <c r="B33" s="64">
        <v>3</v>
      </c>
      <c r="C33" s="292">
        <v>1207.5</v>
      </c>
      <c r="D33" s="307"/>
    </row>
    <row r="34" spans="1:4" x14ac:dyDescent="0.25">
      <c r="A34" s="120"/>
      <c r="B34" s="64">
        <v>4</v>
      </c>
      <c r="C34" s="292">
        <v>2245</v>
      </c>
      <c r="D34" s="307"/>
    </row>
    <row r="36" spans="1:4" ht="15.75" x14ac:dyDescent="0.25">
      <c r="A36" s="48" t="s">
        <v>5857</v>
      </c>
    </row>
    <row r="37" spans="1:4" ht="24" x14ac:dyDescent="0.25">
      <c r="A37" s="140" t="s">
        <v>5856</v>
      </c>
      <c r="B37" s="281" t="s">
        <v>5861</v>
      </c>
      <c r="C37" s="281" t="s">
        <v>5848</v>
      </c>
    </row>
    <row r="38" spans="1:4" x14ac:dyDescent="0.25">
      <c r="A38" s="282" t="s">
        <v>5859</v>
      </c>
      <c r="B38" s="125">
        <v>0.25</v>
      </c>
      <c r="C38" s="292">
        <v>18.75</v>
      </c>
      <c r="D38" s="307"/>
    </row>
    <row r="39" spans="1:4" x14ac:dyDescent="0.25">
      <c r="A39" s="286"/>
      <c r="B39" s="125">
        <v>0.375</v>
      </c>
      <c r="C39" s="292">
        <v>18.75</v>
      </c>
      <c r="D39" s="307"/>
    </row>
    <row r="40" spans="1:4" x14ac:dyDescent="0.25">
      <c r="A40" s="124"/>
      <c r="B40" s="125">
        <v>0.5</v>
      </c>
      <c r="C40" s="292">
        <v>18.75</v>
      </c>
      <c r="D40" s="307"/>
    </row>
    <row r="41" spans="1:4" x14ac:dyDescent="0.25">
      <c r="A41" s="124"/>
      <c r="B41" s="125">
        <v>0.75</v>
      </c>
      <c r="C41" s="293">
        <v>26.75</v>
      </c>
      <c r="D41" s="307"/>
    </row>
    <row r="42" spans="1:4" x14ac:dyDescent="0.25">
      <c r="A42" s="124"/>
      <c r="B42" s="125">
        <v>1</v>
      </c>
      <c r="C42" s="293">
        <v>36.25</v>
      </c>
      <c r="D42" s="307"/>
    </row>
    <row r="43" spans="1:4" x14ac:dyDescent="0.25">
      <c r="A43" s="124"/>
      <c r="B43" s="125">
        <v>1.25</v>
      </c>
      <c r="C43" s="293">
        <v>56.75</v>
      </c>
      <c r="D43" s="307"/>
    </row>
    <row r="44" spans="1:4" x14ac:dyDescent="0.25">
      <c r="A44" s="124"/>
      <c r="B44" s="125">
        <v>1.5</v>
      </c>
      <c r="C44" s="293">
        <v>70.5</v>
      </c>
      <c r="D44" s="307"/>
    </row>
    <row r="45" spans="1:4" x14ac:dyDescent="0.25">
      <c r="A45" s="124"/>
      <c r="B45" s="125">
        <v>2</v>
      </c>
      <c r="C45" s="293">
        <v>76.5</v>
      </c>
      <c r="D45" s="307"/>
    </row>
    <row r="46" spans="1:4" x14ac:dyDescent="0.25">
      <c r="A46" s="124"/>
      <c r="B46" s="125">
        <v>2.5</v>
      </c>
      <c r="C46" s="293">
        <v>102.75</v>
      </c>
      <c r="D46" s="307"/>
    </row>
    <row r="47" spans="1:4" x14ac:dyDescent="0.25">
      <c r="A47" s="124"/>
      <c r="B47" s="125">
        <v>3</v>
      </c>
      <c r="C47" s="293">
        <v>143.25</v>
      </c>
      <c r="D47" s="307"/>
    </row>
    <row r="48" spans="1:4" x14ac:dyDescent="0.25">
      <c r="A48" s="124"/>
      <c r="B48" s="125">
        <v>4</v>
      </c>
      <c r="C48" s="293">
        <v>192.25</v>
      </c>
      <c r="D48" s="307"/>
    </row>
    <row r="49" spans="1:4" x14ac:dyDescent="0.25">
      <c r="A49" s="124"/>
      <c r="B49" s="125">
        <v>5</v>
      </c>
      <c r="C49" s="293">
        <v>308.75</v>
      </c>
      <c r="D49" s="307"/>
    </row>
    <row r="50" spans="1:4" x14ac:dyDescent="0.25">
      <c r="A50" s="124"/>
      <c r="B50" s="125">
        <v>6</v>
      </c>
      <c r="C50" s="293">
        <v>308.75</v>
      </c>
      <c r="D50" s="307"/>
    </row>
    <row r="51" spans="1:4" x14ac:dyDescent="0.25">
      <c r="A51" s="124"/>
      <c r="B51" s="125">
        <v>8</v>
      </c>
      <c r="C51" s="293">
        <v>390.5</v>
      </c>
      <c r="D51" s="307"/>
    </row>
    <row r="52" spans="1:4" x14ac:dyDescent="0.25">
      <c r="A52" s="124"/>
      <c r="B52" s="125">
        <v>10</v>
      </c>
      <c r="C52" s="293">
        <v>459.5</v>
      </c>
      <c r="D52" s="307"/>
    </row>
    <row r="53" spans="1:4" x14ac:dyDescent="0.25">
      <c r="A53" s="124"/>
      <c r="B53" s="125">
        <v>12</v>
      </c>
      <c r="C53" s="293">
        <v>574.75</v>
      </c>
      <c r="D53" s="307"/>
    </row>
    <row r="54" spans="1:4" x14ac:dyDescent="0.25">
      <c r="A54" s="124"/>
      <c r="B54" s="125">
        <v>14</v>
      </c>
      <c r="C54" s="293">
        <v>743.5</v>
      </c>
      <c r="D54" s="307"/>
    </row>
    <row r="55" spans="1:4" x14ac:dyDescent="0.25">
      <c r="A55" s="120"/>
      <c r="B55" s="125">
        <v>16</v>
      </c>
      <c r="C55" s="293">
        <v>1227.25</v>
      </c>
      <c r="D55" s="307"/>
    </row>
    <row r="56" spans="1:4" x14ac:dyDescent="0.25">
      <c r="A56" s="282" t="s">
        <v>5860</v>
      </c>
      <c r="B56" s="125">
        <v>0.5</v>
      </c>
      <c r="C56" s="292">
        <v>24.25</v>
      </c>
      <c r="D56" s="307"/>
    </row>
    <row r="57" spans="1:4" x14ac:dyDescent="0.25">
      <c r="A57" s="286"/>
      <c r="B57" s="125">
        <v>0.75</v>
      </c>
      <c r="C57" s="292">
        <v>36.25</v>
      </c>
      <c r="D57" s="307"/>
    </row>
    <row r="58" spans="1:4" x14ac:dyDescent="0.25">
      <c r="A58" s="124"/>
      <c r="B58" s="125">
        <v>1</v>
      </c>
      <c r="C58" s="292">
        <v>45.5</v>
      </c>
      <c r="D58" s="307"/>
    </row>
    <row r="59" spans="1:4" x14ac:dyDescent="0.25">
      <c r="A59" s="124"/>
      <c r="B59" s="125">
        <v>1.25</v>
      </c>
      <c r="C59" s="293">
        <v>74</v>
      </c>
      <c r="D59" s="307"/>
    </row>
    <row r="60" spans="1:4" x14ac:dyDescent="0.25">
      <c r="A60" s="124"/>
      <c r="B60" s="125">
        <v>1.5</v>
      </c>
      <c r="C60" s="293">
        <v>90.5</v>
      </c>
      <c r="D60" s="307"/>
    </row>
    <row r="61" spans="1:4" x14ac:dyDescent="0.25">
      <c r="A61" s="124"/>
      <c r="B61" s="125">
        <v>2</v>
      </c>
      <c r="C61" s="293">
        <v>96.25</v>
      </c>
      <c r="D61" s="307"/>
    </row>
    <row r="62" spans="1:4" x14ac:dyDescent="0.25">
      <c r="A62" s="124"/>
      <c r="B62" s="125">
        <v>2.5</v>
      </c>
      <c r="C62" s="293">
        <v>137.25</v>
      </c>
      <c r="D62" s="307"/>
    </row>
    <row r="63" spans="1:4" x14ac:dyDescent="0.25">
      <c r="A63" s="124"/>
      <c r="B63" s="125">
        <v>3</v>
      </c>
      <c r="C63" s="293">
        <v>182.75</v>
      </c>
      <c r="D63" s="307"/>
    </row>
    <row r="64" spans="1:4" x14ac:dyDescent="0.25">
      <c r="A64" s="124"/>
      <c r="B64" s="125">
        <v>4</v>
      </c>
      <c r="C64" s="293">
        <v>248</v>
      </c>
      <c r="D64" s="307"/>
    </row>
    <row r="65" spans="1:5" x14ac:dyDescent="0.25">
      <c r="A65" s="124"/>
      <c r="B65" s="125">
        <v>6</v>
      </c>
      <c r="C65" s="293">
        <v>397.5</v>
      </c>
      <c r="D65" s="307"/>
    </row>
    <row r="66" spans="1:5" x14ac:dyDescent="0.25">
      <c r="A66" s="124"/>
      <c r="B66" s="125">
        <v>8</v>
      </c>
      <c r="C66" s="293">
        <v>512</v>
      </c>
      <c r="D66" s="307"/>
    </row>
    <row r="67" spans="1:5" x14ac:dyDescent="0.25">
      <c r="A67" s="124"/>
      <c r="B67" s="125">
        <v>10</v>
      </c>
      <c r="C67" s="293">
        <v>596</v>
      </c>
      <c r="D67" s="307"/>
    </row>
    <row r="68" spans="1:5" x14ac:dyDescent="0.25">
      <c r="A68" s="124"/>
      <c r="B68" s="125">
        <v>12</v>
      </c>
      <c r="C68" s="293">
        <v>743.5</v>
      </c>
      <c r="D68" s="307"/>
    </row>
    <row r="69" spans="1:5" x14ac:dyDescent="0.25">
      <c r="A69" s="124"/>
      <c r="B69" s="125">
        <v>14</v>
      </c>
      <c r="C69" s="293">
        <v>969.25</v>
      </c>
      <c r="D69" s="307"/>
    </row>
    <row r="70" spans="1:5" x14ac:dyDescent="0.25">
      <c r="A70" s="120"/>
      <c r="B70" s="125">
        <v>16</v>
      </c>
      <c r="C70" s="293">
        <v>1594</v>
      </c>
      <c r="D70" s="307"/>
    </row>
    <row r="72" spans="1:5" ht="15.75" x14ac:dyDescent="0.25">
      <c r="A72" s="48" t="s">
        <v>5862</v>
      </c>
    </row>
    <row r="73" spans="1:5" ht="24" x14ac:dyDescent="0.25">
      <c r="A73" s="140" t="s">
        <v>5856</v>
      </c>
      <c r="B73" s="281" t="s">
        <v>5863</v>
      </c>
      <c r="C73" s="281" t="s">
        <v>5861</v>
      </c>
      <c r="D73" s="281" t="s">
        <v>5848</v>
      </c>
    </row>
    <row r="74" spans="1:5" x14ac:dyDescent="0.25">
      <c r="A74" s="282" t="s">
        <v>5868</v>
      </c>
      <c r="B74" s="288" t="s">
        <v>5864</v>
      </c>
      <c r="C74" s="125">
        <v>0.5</v>
      </c>
      <c r="D74" s="292">
        <v>765</v>
      </c>
      <c r="E74" s="307"/>
    </row>
    <row r="75" spans="1:5" x14ac:dyDescent="0.25">
      <c r="A75" s="286"/>
      <c r="B75" s="284" t="s">
        <v>5865</v>
      </c>
      <c r="C75" s="125">
        <v>0.75</v>
      </c>
      <c r="D75" s="292">
        <v>765</v>
      </c>
      <c r="E75" s="307"/>
    </row>
    <row r="76" spans="1:5" x14ac:dyDescent="0.25">
      <c r="A76" s="124"/>
      <c r="B76" s="284"/>
      <c r="C76" s="125">
        <v>1</v>
      </c>
      <c r="D76" s="292">
        <v>765</v>
      </c>
      <c r="E76" s="307"/>
    </row>
    <row r="77" spans="1:5" x14ac:dyDescent="0.25">
      <c r="A77" s="124"/>
      <c r="B77" s="284"/>
      <c r="C77" s="125">
        <v>1.25</v>
      </c>
      <c r="D77" s="293">
        <v>1064</v>
      </c>
      <c r="E77" s="307"/>
    </row>
    <row r="78" spans="1:5" x14ac:dyDescent="0.25">
      <c r="A78" s="124"/>
      <c r="B78" s="284"/>
      <c r="C78" s="125">
        <v>1.5</v>
      </c>
      <c r="D78" s="293">
        <v>1064</v>
      </c>
      <c r="E78" s="307"/>
    </row>
    <row r="79" spans="1:5" x14ac:dyDescent="0.25">
      <c r="A79" s="124"/>
      <c r="B79" s="284"/>
      <c r="C79" s="125">
        <v>2</v>
      </c>
      <c r="D79" s="293">
        <v>1064</v>
      </c>
      <c r="E79" s="307"/>
    </row>
    <row r="80" spans="1:5" x14ac:dyDescent="0.25">
      <c r="A80" s="124"/>
      <c r="B80" s="284"/>
      <c r="C80" s="125">
        <v>2.5</v>
      </c>
      <c r="D80" s="293">
        <v>1881</v>
      </c>
      <c r="E80" s="307"/>
    </row>
    <row r="81" spans="1:5" x14ac:dyDescent="0.25">
      <c r="A81" s="124"/>
      <c r="B81" s="284"/>
      <c r="C81" s="125">
        <v>3</v>
      </c>
      <c r="D81" s="293">
        <v>1881</v>
      </c>
      <c r="E81" s="307"/>
    </row>
    <row r="82" spans="1:5" x14ac:dyDescent="0.25">
      <c r="A82" s="124"/>
      <c r="B82" s="284"/>
      <c r="C82" s="125">
        <v>4</v>
      </c>
      <c r="D82" s="293">
        <v>2666</v>
      </c>
      <c r="E82" s="307"/>
    </row>
    <row r="83" spans="1:5" x14ac:dyDescent="0.25">
      <c r="A83" s="124"/>
      <c r="B83" s="284"/>
      <c r="C83" s="125">
        <v>5</v>
      </c>
      <c r="D83" s="293">
        <v>3168</v>
      </c>
      <c r="E83" s="307"/>
    </row>
    <row r="84" spans="1:5" x14ac:dyDescent="0.25">
      <c r="A84" s="124"/>
      <c r="B84" s="284"/>
      <c r="C84" s="125">
        <v>6</v>
      </c>
      <c r="D84" s="293">
        <v>3168</v>
      </c>
      <c r="E84" s="307"/>
    </row>
    <row r="85" spans="1:5" x14ac:dyDescent="0.25">
      <c r="A85" s="124"/>
      <c r="B85" s="284"/>
      <c r="C85" s="125">
        <v>8</v>
      </c>
      <c r="D85" s="293">
        <v>6144.5</v>
      </c>
      <c r="E85" s="307"/>
    </row>
    <row r="86" spans="1:5" x14ac:dyDescent="0.25">
      <c r="A86" s="124"/>
      <c r="B86" s="284"/>
      <c r="C86" s="125">
        <v>10</v>
      </c>
      <c r="D86" s="293">
        <v>8421.5</v>
      </c>
      <c r="E86" s="307"/>
    </row>
    <row r="87" spans="1:5" x14ac:dyDescent="0.25">
      <c r="A87" s="124"/>
      <c r="B87" s="284"/>
      <c r="C87" s="125">
        <v>12</v>
      </c>
      <c r="D87" s="293">
        <v>12691.5</v>
      </c>
      <c r="E87" s="307"/>
    </row>
    <row r="88" spans="1:5" x14ac:dyDescent="0.25">
      <c r="A88" s="124"/>
      <c r="B88" s="284"/>
      <c r="C88" s="125">
        <v>14</v>
      </c>
      <c r="D88" s="293">
        <v>14308.75</v>
      </c>
      <c r="E88" s="307"/>
    </row>
    <row r="89" spans="1:5" x14ac:dyDescent="0.25">
      <c r="A89" s="124"/>
      <c r="B89" s="284"/>
      <c r="C89" s="125">
        <v>16</v>
      </c>
      <c r="D89" s="293">
        <v>15652.25</v>
      </c>
      <c r="E89" s="307"/>
    </row>
    <row r="90" spans="1:5" x14ac:dyDescent="0.25">
      <c r="A90" s="287"/>
      <c r="B90" s="185" t="s">
        <v>5866</v>
      </c>
      <c r="C90" s="125">
        <v>0.5</v>
      </c>
      <c r="D90" s="292">
        <v>908.75</v>
      </c>
      <c r="E90" s="307"/>
    </row>
    <row r="91" spans="1:5" x14ac:dyDescent="0.25">
      <c r="A91" s="287"/>
      <c r="B91" s="183" t="s">
        <v>5867</v>
      </c>
      <c r="C91" s="125">
        <v>0.75</v>
      </c>
      <c r="D91" s="292">
        <v>908.75</v>
      </c>
      <c r="E91" s="307"/>
    </row>
    <row r="92" spans="1:5" x14ac:dyDescent="0.25">
      <c r="A92" s="134"/>
      <c r="B92" s="183"/>
      <c r="C92" s="125">
        <v>1</v>
      </c>
      <c r="D92" s="292">
        <v>908.75</v>
      </c>
      <c r="E92" s="307"/>
    </row>
    <row r="93" spans="1:5" x14ac:dyDescent="0.25">
      <c r="A93" s="134"/>
      <c r="B93" s="183"/>
      <c r="C93" s="125">
        <v>1.25</v>
      </c>
      <c r="D93" s="293">
        <v>1276.25</v>
      </c>
      <c r="E93" s="307"/>
    </row>
    <row r="94" spans="1:5" x14ac:dyDescent="0.25">
      <c r="A94" s="134"/>
      <c r="B94" s="183"/>
      <c r="C94" s="125">
        <v>1.5</v>
      </c>
      <c r="D94" s="293">
        <v>1276.25</v>
      </c>
      <c r="E94" s="307"/>
    </row>
    <row r="95" spans="1:5" x14ac:dyDescent="0.25">
      <c r="A95" s="134"/>
      <c r="B95" s="183"/>
      <c r="C95" s="125">
        <v>2</v>
      </c>
      <c r="D95" s="293">
        <v>1276.25</v>
      </c>
      <c r="E95" s="307"/>
    </row>
    <row r="96" spans="1:5" x14ac:dyDescent="0.25">
      <c r="A96" s="134"/>
      <c r="B96" s="183"/>
      <c r="C96" s="125">
        <v>2.5</v>
      </c>
      <c r="D96" s="293">
        <v>2735.75</v>
      </c>
      <c r="E96" s="307"/>
    </row>
    <row r="97" spans="1:5" x14ac:dyDescent="0.25">
      <c r="A97" s="134"/>
      <c r="B97" s="183"/>
      <c r="C97" s="125">
        <v>3</v>
      </c>
      <c r="D97" s="293">
        <v>2735.75</v>
      </c>
      <c r="E97" s="307"/>
    </row>
    <row r="98" spans="1:5" x14ac:dyDescent="0.25">
      <c r="A98" s="134"/>
      <c r="B98" s="183"/>
      <c r="C98" s="125">
        <v>4</v>
      </c>
      <c r="D98" s="293">
        <v>4385</v>
      </c>
      <c r="E98" s="307"/>
    </row>
    <row r="99" spans="1:5" x14ac:dyDescent="0.25">
      <c r="A99" s="134"/>
      <c r="B99" s="183"/>
      <c r="C99" s="125">
        <v>5</v>
      </c>
      <c r="D99" s="293">
        <v>5445.5</v>
      </c>
      <c r="E99" s="307"/>
    </row>
    <row r="100" spans="1:5" x14ac:dyDescent="0.25">
      <c r="A100" s="134"/>
      <c r="B100" s="183"/>
      <c r="C100" s="125">
        <v>6</v>
      </c>
      <c r="D100" s="293">
        <v>5445.5</v>
      </c>
      <c r="E100" s="307"/>
    </row>
    <row r="101" spans="1:5" x14ac:dyDescent="0.25">
      <c r="A101" s="134"/>
      <c r="B101" s="183"/>
      <c r="C101" s="125">
        <v>8</v>
      </c>
      <c r="D101" s="293">
        <v>7479.5</v>
      </c>
      <c r="E101" s="307"/>
    </row>
    <row r="102" spans="1:5" x14ac:dyDescent="0.25">
      <c r="A102" s="134"/>
      <c r="B102" s="183"/>
      <c r="C102" s="125">
        <v>10</v>
      </c>
      <c r="D102" s="293">
        <v>9686.75</v>
      </c>
      <c r="E102" s="307"/>
    </row>
    <row r="103" spans="1:5" x14ac:dyDescent="0.25">
      <c r="A103" s="134"/>
      <c r="B103" s="183"/>
      <c r="C103" s="125">
        <v>12</v>
      </c>
      <c r="D103" s="293">
        <v>14604.5</v>
      </c>
      <c r="E103" s="307"/>
    </row>
    <row r="104" spans="1:5" x14ac:dyDescent="0.25">
      <c r="A104" s="134"/>
      <c r="B104" s="183"/>
      <c r="C104" s="125">
        <v>14</v>
      </c>
      <c r="D104" s="293">
        <v>25094.25</v>
      </c>
      <c r="E104" s="307"/>
    </row>
    <row r="105" spans="1:5" x14ac:dyDescent="0.25">
      <c r="A105" s="139"/>
      <c r="B105" s="187"/>
      <c r="C105" s="125">
        <v>16</v>
      </c>
      <c r="D105" s="293">
        <v>27955</v>
      </c>
      <c r="E105" s="307"/>
    </row>
    <row r="106" spans="1:5" x14ac:dyDescent="0.25">
      <c r="A106" s="282" t="s">
        <v>5869</v>
      </c>
      <c r="B106" s="288" t="s">
        <v>5864</v>
      </c>
      <c r="C106" s="125">
        <v>0.25</v>
      </c>
      <c r="D106" s="292">
        <v>62</v>
      </c>
      <c r="E106" s="307"/>
    </row>
    <row r="107" spans="1:5" x14ac:dyDescent="0.25">
      <c r="A107" s="286"/>
      <c r="B107" s="284" t="s">
        <v>5865</v>
      </c>
      <c r="C107" s="125">
        <v>0.375</v>
      </c>
      <c r="D107" s="292">
        <v>62</v>
      </c>
      <c r="E107" s="307"/>
    </row>
    <row r="108" spans="1:5" x14ac:dyDescent="0.25">
      <c r="A108" s="124"/>
      <c r="B108" s="284"/>
      <c r="C108" s="125">
        <v>0.5</v>
      </c>
      <c r="D108" s="292">
        <v>62</v>
      </c>
      <c r="E108" s="307"/>
    </row>
    <row r="109" spans="1:5" x14ac:dyDescent="0.25">
      <c r="A109" s="124"/>
      <c r="B109" s="284"/>
      <c r="C109" s="125">
        <v>0.75</v>
      </c>
      <c r="D109" s="292">
        <v>90.5</v>
      </c>
      <c r="E109" s="307"/>
    </row>
    <row r="110" spans="1:5" x14ac:dyDescent="0.25">
      <c r="A110" s="124"/>
      <c r="B110" s="284"/>
      <c r="C110" s="125">
        <v>1</v>
      </c>
      <c r="D110" s="292">
        <v>117.25</v>
      </c>
      <c r="E110" s="307"/>
    </row>
    <row r="111" spans="1:5" x14ac:dyDescent="0.25">
      <c r="A111" s="124"/>
      <c r="B111" s="284"/>
      <c r="C111" s="125">
        <v>1.25</v>
      </c>
      <c r="D111" s="293">
        <v>178.25</v>
      </c>
      <c r="E111" s="307"/>
    </row>
    <row r="112" spans="1:5" x14ac:dyDescent="0.25">
      <c r="A112" s="124"/>
      <c r="B112" s="284"/>
      <c r="C112" s="125">
        <v>1.5</v>
      </c>
      <c r="D112" s="293">
        <v>227.5</v>
      </c>
      <c r="E112" s="307"/>
    </row>
    <row r="113" spans="1:5" x14ac:dyDescent="0.25">
      <c r="A113" s="124"/>
      <c r="B113" s="284"/>
      <c r="C113" s="125">
        <v>2</v>
      </c>
      <c r="D113" s="293">
        <v>248</v>
      </c>
      <c r="E113" s="307"/>
    </row>
    <row r="114" spans="1:5" x14ac:dyDescent="0.25">
      <c r="A114" s="124"/>
      <c r="B114" s="284"/>
      <c r="C114" s="125">
        <v>2.5</v>
      </c>
      <c r="D114" s="293">
        <v>336</v>
      </c>
      <c r="E114" s="307"/>
    </row>
    <row r="115" spans="1:5" x14ac:dyDescent="0.25">
      <c r="A115" s="124"/>
      <c r="B115" s="284"/>
      <c r="C115" s="125">
        <v>3</v>
      </c>
      <c r="D115" s="293">
        <v>480</v>
      </c>
      <c r="E115" s="307"/>
    </row>
    <row r="116" spans="1:5" x14ac:dyDescent="0.25">
      <c r="A116" s="124"/>
      <c r="B116" s="284"/>
      <c r="C116" s="125">
        <v>4</v>
      </c>
      <c r="D116" s="293">
        <v>1049.75</v>
      </c>
      <c r="E116" s="307"/>
    </row>
    <row r="117" spans="1:5" x14ac:dyDescent="0.25">
      <c r="A117" s="124"/>
      <c r="B117" s="284"/>
      <c r="C117" s="125">
        <v>5</v>
      </c>
      <c r="D117" s="293">
        <v>2022.25</v>
      </c>
      <c r="E117" s="307"/>
    </row>
    <row r="118" spans="1:5" x14ac:dyDescent="0.25">
      <c r="A118" s="124"/>
      <c r="B118" s="284"/>
      <c r="C118" s="125">
        <v>6</v>
      </c>
      <c r="D118" s="293">
        <v>2022.25</v>
      </c>
      <c r="E118" s="307"/>
    </row>
    <row r="119" spans="1:5" x14ac:dyDescent="0.25">
      <c r="A119" s="124"/>
      <c r="B119" s="284"/>
      <c r="C119" s="125">
        <v>8</v>
      </c>
      <c r="D119" s="293">
        <v>3817.5</v>
      </c>
      <c r="E119" s="307"/>
    </row>
    <row r="120" spans="1:5" x14ac:dyDescent="0.25">
      <c r="A120" s="124"/>
      <c r="B120" s="284"/>
      <c r="C120" s="125">
        <v>10</v>
      </c>
      <c r="D120" s="293">
        <v>5828</v>
      </c>
      <c r="E120" s="307"/>
    </row>
    <row r="121" spans="1:5" x14ac:dyDescent="0.25">
      <c r="A121" s="124"/>
      <c r="B121" s="284"/>
      <c r="C121" s="125">
        <v>12</v>
      </c>
      <c r="D121" s="293">
        <v>6895.75</v>
      </c>
      <c r="E121" s="307"/>
    </row>
    <row r="122" spans="1:5" x14ac:dyDescent="0.25">
      <c r="A122" s="124"/>
      <c r="B122" s="284"/>
      <c r="C122" s="125">
        <v>14</v>
      </c>
      <c r="D122" s="293">
        <v>7495</v>
      </c>
      <c r="E122" s="307"/>
    </row>
    <row r="123" spans="1:5" x14ac:dyDescent="0.25">
      <c r="A123" s="124"/>
      <c r="B123" s="284"/>
      <c r="C123" s="125">
        <v>16</v>
      </c>
      <c r="D123" s="293">
        <v>8965.75</v>
      </c>
      <c r="E123" s="307"/>
    </row>
    <row r="124" spans="1:5" x14ac:dyDescent="0.25">
      <c r="A124" s="287"/>
      <c r="B124" s="185" t="s">
        <v>5872</v>
      </c>
      <c r="C124" s="125">
        <v>0.25</v>
      </c>
      <c r="D124" s="292">
        <v>122.5</v>
      </c>
      <c r="E124" s="307"/>
    </row>
    <row r="125" spans="1:5" x14ac:dyDescent="0.25">
      <c r="A125" s="287"/>
      <c r="B125" s="183" t="s">
        <v>5867</v>
      </c>
      <c r="C125" s="125">
        <v>0.375</v>
      </c>
      <c r="D125" s="292">
        <v>122.5</v>
      </c>
      <c r="E125" s="307"/>
    </row>
    <row r="126" spans="1:5" x14ac:dyDescent="0.25">
      <c r="A126" s="287"/>
      <c r="B126" s="183"/>
      <c r="C126" s="125">
        <v>0.5</v>
      </c>
      <c r="D126" s="292">
        <v>122.5</v>
      </c>
      <c r="E126" s="307"/>
    </row>
    <row r="127" spans="1:5" x14ac:dyDescent="0.25">
      <c r="A127" s="287"/>
      <c r="B127" s="183"/>
      <c r="C127" s="125">
        <v>0.75</v>
      </c>
      <c r="D127" s="292">
        <v>151.5</v>
      </c>
      <c r="E127" s="307"/>
    </row>
    <row r="128" spans="1:5" x14ac:dyDescent="0.25">
      <c r="A128" s="134"/>
      <c r="B128" s="183"/>
      <c r="C128" s="125">
        <v>1</v>
      </c>
      <c r="D128" s="292">
        <v>163</v>
      </c>
      <c r="E128" s="307"/>
    </row>
    <row r="129" spans="1:5" x14ac:dyDescent="0.25">
      <c r="A129" s="134"/>
      <c r="B129" s="183"/>
      <c r="C129" s="125">
        <v>1.25</v>
      </c>
      <c r="D129" s="293">
        <v>300.75</v>
      </c>
      <c r="E129" s="307"/>
    </row>
    <row r="130" spans="1:5" x14ac:dyDescent="0.25">
      <c r="A130" s="134"/>
      <c r="B130" s="183"/>
      <c r="C130" s="125">
        <v>1.5</v>
      </c>
      <c r="D130" s="293">
        <v>300.75</v>
      </c>
      <c r="E130" s="307"/>
    </row>
    <row r="131" spans="1:5" x14ac:dyDescent="0.25">
      <c r="A131" s="134"/>
      <c r="B131" s="183"/>
      <c r="C131" s="125">
        <v>2</v>
      </c>
      <c r="D131" s="293">
        <v>637.5</v>
      </c>
      <c r="E131" s="307"/>
    </row>
    <row r="132" spans="1:5" x14ac:dyDescent="0.25">
      <c r="A132" s="134"/>
      <c r="B132" s="183"/>
      <c r="C132" s="125">
        <v>2.5</v>
      </c>
      <c r="D132" s="293">
        <v>969.25</v>
      </c>
      <c r="E132" s="307"/>
    </row>
    <row r="133" spans="1:5" x14ac:dyDescent="0.25">
      <c r="A133" s="134"/>
      <c r="B133" s="183"/>
      <c r="C133" s="125">
        <v>3</v>
      </c>
      <c r="D133" s="293">
        <v>969.25</v>
      </c>
      <c r="E133" s="307"/>
    </row>
    <row r="134" spans="1:5" x14ac:dyDescent="0.25">
      <c r="A134" s="134"/>
      <c r="B134" s="183"/>
      <c r="C134" s="125">
        <v>4</v>
      </c>
      <c r="D134" s="293">
        <v>1519.5</v>
      </c>
      <c r="E134" s="307"/>
    </row>
    <row r="135" spans="1:5" x14ac:dyDescent="0.25">
      <c r="A135" s="134"/>
      <c r="B135" s="183"/>
      <c r="C135" s="125">
        <v>5</v>
      </c>
      <c r="D135" s="293">
        <v>2427</v>
      </c>
      <c r="E135" s="307"/>
    </row>
    <row r="136" spans="1:5" x14ac:dyDescent="0.25">
      <c r="A136" s="134"/>
      <c r="B136" s="183"/>
      <c r="C136" s="125">
        <v>6</v>
      </c>
      <c r="D136" s="293">
        <v>2427</v>
      </c>
      <c r="E136" s="307"/>
    </row>
    <row r="137" spans="1:5" x14ac:dyDescent="0.25">
      <c r="A137" s="134"/>
      <c r="B137" s="183"/>
      <c r="C137" s="125">
        <v>8</v>
      </c>
      <c r="D137" s="293">
        <v>4873.25</v>
      </c>
      <c r="E137" s="307"/>
    </row>
    <row r="138" spans="1:5" x14ac:dyDescent="0.25">
      <c r="A138" s="134"/>
      <c r="B138" s="183"/>
      <c r="C138" s="125">
        <v>10</v>
      </c>
      <c r="D138" s="293">
        <v>6744.5</v>
      </c>
      <c r="E138" s="307"/>
    </row>
    <row r="139" spans="1:5" x14ac:dyDescent="0.25">
      <c r="A139" s="134"/>
      <c r="B139" s="183"/>
      <c r="C139" s="125">
        <v>12</v>
      </c>
      <c r="D139" s="293">
        <v>8242.75</v>
      </c>
      <c r="E139" s="307"/>
    </row>
    <row r="140" spans="1:5" x14ac:dyDescent="0.25">
      <c r="A140" s="134"/>
      <c r="B140" s="183"/>
      <c r="C140" s="125">
        <v>14</v>
      </c>
      <c r="D140" s="293">
        <v>13540</v>
      </c>
      <c r="E140" s="307"/>
    </row>
    <row r="141" spans="1:5" x14ac:dyDescent="0.25">
      <c r="A141" s="139"/>
      <c r="B141" s="187"/>
      <c r="C141" s="125">
        <v>16</v>
      </c>
      <c r="D141" s="293">
        <v>14745.25</v>
      </c>
      <c r="E141" s="307"/>
    </row>
    <row r="142" spans="1:5" x14ac:dyDescent="0.25">
      <c r="A142" s="289" t="s">
        <v>5870</v>
      </c>
      <c r="B142" s="185" t="s">
        <v>5866</v>
      </c>
      <c r="C142" s="125">
        <v>0.25</v>
      </c>
      <c r="D142" s="292">
        <v>38.75</v>
      </c>
      <c r="E142" s="307"/>
    </row>
    <row r="143" spans="1:5" x14ac:dyDescent="0.25">
      <c r="B143" s="183" t="s">
        <v>5871</v>
      </c>
      <c r="C143" s="125">
        <v>0.375</v>
      </c>
      <c r="D143" s="292">
        <v>38.75</v>
      </c>
      <c r="E143" s="307"/>
    </row>
    <row r="144" spans="1:5" x14ac:dyDescent="0.25">
      <c r="B144" s="183"/>
      <c r="C144" s="125">
        <v>0.5</v>
      </c>
      <c r="D144" s="292">
        <v>38.75</v>
      </c>
      <c r="E144" s="307"/>
    </row>
    <row r="145" spans="1:5" x14ac:dyDescent="0.25">
      <c r="B145" s="183"/>
      <c r="C145" s="125">
        <v>0.75</v>
      </c>
      <c r="D145" s="292">
        <v>56.75</v>
      </c>
      <c r="E145" s="307"/>
    </row>
    <row r="146" spans="1:5" x14ac:dyDescent="0.25">
      <c r="B146" s="183"/>
      <c r="C146" s="125">
        <v>1</v>
      </c>
      <c r="D146" s="292">
        <v>76.5</v>
      </c>
      <c r="E146" s="307"/>
    </row>
    <row r="147" spans="1:5" x14ac:dyDescent="0.25">
      <c r="B147" s="183"/>
      <c r="C147" s="125">
        <v>1.25</v>
      </c>
      <c r="D147" s="293">
        <v>90.5</v>
      </c>
      <c r="E147" s="307"/>
    </row>
    <row r="148" spans="1:5" x14ac:dyDescent="0.25">
      <c r="B148" s="183"/>
      <c r="C148" s="125">
        <v>1.5</v>
      </c>
      <c r="D148" s="293">
        <v>111</v>
      </c>
      <c r="E148" s="307"/>
    </row>
    <row r="149" spans="1:5" x14ac:dyDescent="0.25">
      <c r="A149" s="100"/>
      <c r="B149" s="187"/>
      <c r="C149" s="125">
        <v>2</v>
      </c>
      <c r="D149" s="293">
        <v>141</v>
      </c>
      <c r="E149" s="307"/>
    </row>
    <row r="151" spans="1:5" ht="15.75" x14ac:dyDescent="0.25">
      <c r="A151" s="48" t="s">
        <v>5873</v>
      </c>
    </row>
    <row r="152" spans="1:5" x14ac:dyDescent="0.25">
      <c r="A152" s="140" t="s">
        <v>5874</v>
      </c>
      <c r="B152" s="281" t="s">
        <v>5876</v>
      </c>
      <c r="C152" s="140" t="s">
        <v>5847</v>
      </c>
      <c r="D152" s="291" t="s">
        <v>5878</v>
      </c>
    </row>
    <row r="153" spans="1:5" x14ac:dyDescent="0.25">
      <c r="A153" s="283" t="s">
        <v>5875</v>
      </c>
      <c r="B153" s="64" t="s">
        <v>5877</v>
      </c>
      <c r="C153" s="290">
        <v>269</v>
      </c>
      <c r="D153" s="307"/>
    </row>
    <row r="155" spans="1:5" ht="15.75" x14ac:dyDescent="0.25">
      <c r="A155" s="48" t="s">
        <v>5879</v>
      </c>
    </row>
    <row r="156" spans="1:5" ht="24" x14ac:dyDescent="0.25">
      <c r="A156" s="140" t="s">
        <v>5856</v>
      </c>
      <c r="B156" s="140" t="s">
        <v>5900</v>
      </c>
    </row>
    <row r="157" spans="1:5" x14ac:dyDescent="0.25">
      <c r="A157" s="283" t="s">
        <v>5880</v>
      </c>
      <c r="B157" s="296">
        <v>389.75</v>
      </c>
      <c r="C157" s="307"/>
    </row>
    <row r="159" spans="1:5" ht="15.75" x14ac:dyDescent="0.25">
      <c r="A159" s="48" t="s">
        <v>5895</v>
      </c>
    </row>
    <row r="160" spans="1:5" x14ac:dyDescent="0.25">
      <c r="A160" s="140" t="s">
        <v>5861</v>
      </c>
      <c r="B160" s="281" t="s">
        <v>5847</v>
      </c>
      <c r="C160" s="291" t="s">
        <v>5896</v>
      </c>
      <c r="D160" s="307"/>
    </row>
    <row r="161" spans="1:4" x14ac:dyDescent="0.25">
      <c r="A161" s="125">
        <v>0.5</v>
      </c>
      <c r="B161" s="296">
        <v>181.25</v>
      </c>
      <c r="C161" s="291" t="s">
        <v>5897</v>
      </c>
      <c r="D161" s="307"/>
    </row>
    <row r="162" spans="1:4" x14ac:dyDescent="0.25">
      <c r="A162" s="125">
        <v>0.75</v>
      </c>
      <c r="B162" s="296">
        <v>181.25</v>
      </c>
      <c r="C162" s="291" t="s">
        <v>5898</v>
      </c>
      <c r="D162" s="307"/>
    </row>
    <row r="163" spans="1:4" x14ac:dyDescent="0.25">
      <c r="A163" s="125">
        <v>1</v>
      </c>
      <c r="B163" s="296">
        <v>181.25</v>
      </c>
      <c r="C163" s="291" t="s">
        <v>5899</v>
      </c>
      <c r="D163" s="307"/>
    </row>
    <row r="164" spans="1:4" x14ac:dyDescent="0.25">
      <c r="A164" s="125">
        <v>1.25</v>
      </c>
      <c r="B164" s="296">
        <v>181.25</v>
      </c>
      <c r="D164" s="307"/>
    </row>
    <row r="165" spans="1:4" x14ac:dyDescent="0.25">
      <c r="A165" s="125">
        <v>1.5</v>
      </c>
      <c r="B165" s="296">
        <v>181.25</v>
      </c>
      <c r="D165" s="307"/>
    </row>
    <row r="166" spans="1:4" x14ac:dyDescent="0.25">
      <c r="A166" s="125">
        <v>2</v>
      </c>
      <c r="B166" s="296">
        <v>240.25</v>
      </c>
      <c r="D166" s="307"/>
    </row>
    <row r="167" spans="1:4" x14ac:dyDescent="0.25">
      <c r="A167" s="125">
        <v>2.5</v>
      </c>
      <c r="B167" s="296">
        <v>240.25</v>
      </c>
      <c r="D167" s="307"/>
    </row>
    <row r="168" spans="1:4" x14ac:dyDescent="0.25">
      <c r="A168" s="125">
        <v>3</v>
      </c>
      <c r="B168" s="296">
        <v>240.25</v>
      </c>
      <c r="D168" s="307"/>
    </row>
    <row r="169" spans="1:4" x14ac:dyDescent="0.25">
      <c r="A169" s="125">
        <v>4</v>
      </c>
      <c r="B169" s="296">
        <v>299</v>
      </c>
      <c r="D169" s="307"/>
    </row>
    <row r="170" spans="1:4" x14ac:dyDescent="0.25">
      <c r="A170" s="125">
        <v>5</v>
      </c>
      <c r="B170" s="296">
        <v>299</v>
      </c>
      <c r="D170" s="307"/>
    </row>
    <row r="171" spans="1:4" x14ac:dyDescent="0.25">
      <c r="A171" s="125">
        <v>6</v>
      </c>
      <c r="B171" s="296">
        <v>299</v>
      </c>
      <c r="D171" s="307"/>
    </row>
    <row r="172" spans="1:4" x14ac:dyDescent="0.25">
      <c r="A172" s="125">
        <v>8</v>
      </c>
      <c r="B172" s="296">
        <v>418.25</v>
      </c>
      <c r="D172" s="307"/>
    </row>
    <row r="173" spans="1:4" x14ac:dyDescent="0.25">
      <c r="A173" s="125">
        <v>10</v>
      </c>
      <c r="B173" s="296">
        <v>418.25</v>
      </c>
      <c r="D173" s="307"/>
    </row>
    <row r="174" spans="1:4" x14ac:dyDescent="0.25">
      <c r="A174" s="125">
        <v>12</v>
      </c>
      <c r="B174" s="296">
        <v>568</v>
      </c>
      <c r="D174" s="307"/>
    </row>
    <row r="175" spans="1:4" x14ac:dyDescent="0.25">
      <c r="A175" s="125">
        <v>14</v>
      </c>
      <c r="B175" s="296">
        <v>568</v>
      </c>
      <c r="D175" s="307"/>
    </row>
    <row r="176" spans="1:4" x14ac:dyDescent="0.25">
      <c r="A176" s="285"/>
      <c r="B176" s="300"/>
    </row>
    <row r="177" spans="1:4" ht="15.75" x14ac:dyDescent="0.25">
      <c r="A177" s="48" t="s">
        <v>5881</v>
      </c>
    </row>
    <row r="178" spans="1:4" x14ac:dyDescent="0.25">
      <c r="A178" s="298" t="s">
        <v>5884</v>
      </c>
    </row>
    <row r="179" spans="1:4" x14ac:dyDescent="0.25">
      <c r="A179" s="140" t="s">
        <v>5856</v>
      </c>
      <c r="B179" s="281" t="s">
        <v>5861</v>
      </c>
      <c r="C179" s="281" t="s">
        <v>5883</v>
      </c>
    </row>
    <row r="180" spans="1:4" x14ac:dyDescent="0.25">
      <c r="A180" s="282" t="s">
        <v>5882</v>
      </c>
      <c r="B180" s="125">
        <v>0.5</v>
      </c>
      <c r="C180" s="297">
        <v>1492.75</v>
      </c>
      <c r="D180" s="307"/>
    </row>
    <row r="181" spans="1:4" x14ac:dyDescent="0.25">
      <c r="A181" s="286"/>
      <c r="B181" s="125">
        <v>0.75</v>
      </c>
      <c r="C181" s="297">
        <v>1492.75</v>
      </c>
      <c r="D181" s="307"/>
    </row>
    <row r="182" spans="1:4" x14ac:dyDescent="0.25">
      <c r="A182" s="124"/>
      <c r="B182" s="125">
        <v>1</v>
      </c>
      <c r="C182" s="297">
        <v>1492.75</v>
      </c>
      <c r="D182" s="307"/>
    </row>
    <row r="183" spans="1:4" x14ac:dyDescent="0.25">
      <c r="A183" s="124"/>
      <c r="B183" s="125">
        <v>1.25</v>
      </c>
      <c r="C183" s="297">
        <v>1492.75</v>
      </c>
      <c r="D183" s="307"/>
    </row>
    <row r="184" spans="1:4" x14ac:dyDescent="0.25">
      <c r="A184" s="124"/>
      <c r="B184" s="125">
        <v>1.5</v>
      </c>
      <c r="C184" s="297">
        <v>1492.75</v>
      </c>
      <c r="D184" s="307"/>
    </row>
    <row r="185" spans="1:4" x14ac:dyDescent="0.25">
      <c r="A185" s="124"/>
      <c r="B185" s="125">
        <v>2</v>
      </c>
      <c r="C185" s="297">
        <v>1492.75</v>
      </c>
      <c r="D185" s="307"/>
    </row>
    <row r="186" spans="1:4" x14ac:dyDescent="0.25">
      <c r="A186" s="124"/>
      <c r="B186" s="125">
        <v>2.5</v>
      </c>
      <c r="C186" s="297">
        <v>1492.75</v>
      </c>
      <c r="D186" s="307"/>
    </row>
    <row r="187" spans="1:4" x14ac:dyDescent="0.25">
      <c r="A187" s="124"/>
      <c r="B187" s="125">
        <v>3</v>
      </c>
      <c r="C187" s="297">
        <v>1787</v>
      </c>
      <c r="D187" s="307"/>
    </row>
    <row r="188" spans="1:4" x14ac:dyDescent="0.25">
      <c r="A188" s="124"/>
      <c r="B188" s="125">
        <v>4</v>
      </c>
      <c r="C188" s="297">
        <v>2231.25</v>
      </c>
      <c r="D188" s="307"/>
    </row>
    <row r="189" spans="1:4" x14ac:dyDescent="0.25">
      <c r="A189" s="124"/>
      <c r="B189" s="125">
        <v>5</v>
      </c>
      <c r="C189" s="297">
        <v>2825.5</v>
      </c>
      <c r="D189" s="307"/>
    </row>
    <row r="190" spans="1:4" x14ac:dyDescent="0.25">
      <c r="A190" s="124"/>
      <c r="B190" s="125">
        <v>6</v>
      </c>
      <c r="C190" s="297">
        <v>3417</v>
      </c>
      <c r="D190" s="307"/>
    </row>
    <row r="191" spans="1:4" x14ac:dyDescent="0.25">
      <c r="A191" s="124"/>
      <c r="B191" s="125">
        <v>8</v>
      </c>
      <c r="C191" s="297">
        <v>4606.25</v>
      </c>
      <c r="D191" s="307"/>
    </row>
    <row r="192" spans="1:4" x14ac:dyDescent="0.25">
      <c r="A192" s="124"/>
      <c r="B192" s="125">
        <v>10</v>
      </c>
      <c r="C192" s="297">
        <v>5650.25</v>
      </c>
      <c r="D192" s="307"/>
    </row>
    <row r="193" spans="1:4" x14ac:dyDescent="0.25">
      <c r="A193" s="124"/>
      <c r="B193" s="125">
        <v>12</v>
      </c>
      <c r="C193" s="297">
        <v>6840.25</v>
      </c>
      <c r="D193" s="307"/>
    </row>
    <row r="194" spans="1:4" x14ac:dyDescent="0.25">
      <c r="A194" s="282" t="s">
        <v>5851</v>
      </c>
      <c r="B194" s="125">
        <v>0.5</v>
      </c>
      <c r="C194" s="297">
        <v>2974.75</v>
      </c>
      <c r="D194" s="307"/>
    </row>
    <row r="195" spans="1:4" x14ac:dyDescent="0.25">
      <c r="A195" s="286"/>
      <c r="B195" s="125">
        <v>0.75</v>
      </c>
      <c r="C195" s="297">
        <v>1492.75</v>
      </c>
      <c r="D195" s="307"/>
    </row>
    <row r="196" spans="1:4" x14ac:dyDescent="0.25">
      <c r="A196" s="124"/>
      <c r="B196" s="125">
        <v>1</v>
      </c>
      <c r="C196" s="297">
        <v>1492.75</v>
      </c>
      <c r="D196" s="307"/>
    </row>
    <row r="197" spans="1:4" x14ac:dyDescent="0.25">
      <c r="A197" s="124"/>
      <c r="B197" s="125">
        <v>1.25</v>
      </c>
      <c r="C197" s="297">
        <v>1492.75</v>
      </c>
      <c r="D197" s="307"/>
    </row>
    <row r="198" spans="1:4" x14ac:dyDescent="0.25">
      <c r="A198" s="124"/>
      <c r="B198" s="125">
        <v>1.5</v>
      </c>
      <c r="C198" s="297">
        <v>1492.75</v>
      </c>
      <c r="D198" s="307"/>
    </row>
    <row r="199" spans="1:4" x14ac:dyDescent="0.25">
      <c r="A199" s="124"/>
      <c r="B199" s="125">
        <v>2</v>
      </c>
      <c r="C199" s="297">
        <v>1492.75</v>
      </c>
      <c r="D199" s="307"/>
    </row>
    <row r="200" spans="1:4" x14ac:dyDescent="0.25">
      <c r="A200" s="124"/>
      <c r="B200" s="125">
        <v>2.5</v>
      </c>
      <c r="C200" s="297">
        <v>1492.75</v>
      </c>
      <c r="D200" s="307"/>
    </row>
    <row r="201" spans="1:4" x14ac:dyDescent="0.25">
      <c r="A201" s="124"/>
      <c r="B201" s="125">
        <v>3</v>
      </c>
      <c r="C201" s="297">
        <v>3570.5</v>
      </c>
      <c r="D201" s="307"/>
    </row>
    <row r="202" spans="1:4" x14ac:dyDescent="0.25">
      <c r="A202" s="124"/>
      <c r="B202" s="125">
        <v>4</v>
      </c>
      <c r="C202" s="297">
        <v>4460.75</v>
      </c>
      <c r="D202" s="307"/>
    </row>
    <row r="203" spans="1:4" x14ac:dyDescent="0.25">
      <c r="A203" s="124"/>
      <c r="B203" s="125">
        <v>5</v>
      </c>
      <c r="C203" s="297">
        <v>5650.25</v>
      </c>
      <c r="D203" s="307"/>
    </row>
    <row r="204" spans="1:4" x14ac:dyDescent="0.25">
      <c r="A204" s="124"/>
      <c r="B204" s="125">
        <v>6</v>
      </c>
      <c r="C204" s="297">
        <v>8655.25</v>
      </c>
      <c r="D204" s="307"/>
    </row>
    <row r="205" spans="1:4" x14ac:dyDescent="0.25">
      <c r="A205" s="124"/>
      <c r="B205" s="125">
        <v>8</v>
      </c>
      <c r="C205" s="297">
        <v>9216.75</v>
      </c>
      <c r="D205" s="307"/>
    </row>
    <row r="206" spans="1:4" x14ac:dyDescent="0.25">
      <c r="A206" s="124"/>
      <c r="B206" s="125">
        <v>10</v>
      </c>
      <c r="C206" s="297">
        <v>11296.75</v>
      </c>
      <c r="D206" s="307"/>
    </row>
    <row r="207" spans="1:4" x14ac:dyDescent="0.25">
      <c r="A207" s="120"/>
      <c r="B207" s="125">
        <v>12</v>
      </c>
      <c r="C207" s="297">
        <v>13671.5</v>
      </c>
      <c r="D207" s="307"/>
    </row>
    <row r="209" spans="1:6" ht="15.75" x14ac:dyDescent="0.25">
      <c r="A209" s="48" t="s">
        <v>5885</v>
      </c>
    </row>
    <row r="210" spans="1:6" x14ac:dyDescent="0.25">
      <c r="A210" s="298" t="s">
        <v>5886</v>
      </c>
    </row>
    <row r="211" spans="1:6" x14ac:dyDescent="0.25">
      <c r="A211" s="140" t="s">
        <v>5856</v>
      </c>
      <c r="B211" s="281" t="s">
        <v>5861</v>
      </c>
      <c r="C211" s="281" t="s">
        <v>5883</v>
      </c>
      <c r="D211" s="291" t="s">
        <v>5891</v>
      </c>
      <c r="E211" s="307"/>
      <c r="F211" s="307"/>
    </row>
    <row r="212" spans="1:6" x14ac:dyDescent="0.25">
      <c r="A212" s="282" t="s">
        <v>5869</v>
      </c>
      <c r="B212" s="125">
        <v>0.5</v>
      </c>
      <c r="C212" s="299">
        <v>358.75</v>
      </c>
      <c r="D212" s="291" t="s">
        <v>5892</v>
      </c>
      <c r="E212" s="307"/>
      <c r="F212" s="307"/>
    </row>
    <row r="213" spans="1:6" x14ac:dyDescent="0.25">
      <c r="A213" s="286"/>
      <c r="B213" s="125">
        <v>0.75</v>
      </c>
      <c r="C213" s="299">
        <v>358.75</v>
      </c>
      <c r="D213" s="291" t="s">
        <v>5893</v>
      </c>
      <c r="E213" s="307"/>
      <c r="F213" s="307"/>
    </row>
    <row r="214" spans="1:6" x14ac:dyDescent="0.25">
      <c r="A214" s="124"/>
      <c r="B214" s="125">
        <v>1</v>
      </c>
      <c r="C214" s="299">
        <v>358.75</v>
      </c>
      <c r="D214" s="291" t="s">
        <v>5894</v>
      </c>
      <c r="E214" s="307"/>
      <c r="F214" s="307"/>
    </row>
    <row r="215" spans="1:6" x14ac:dyDescent="0.25">
      <c r="A215" s="124"/>
      <c r="B215" s="125">
        <v>1.25</v>
      </c>
      <c r="C215" s="297">
        <v>450.25</v>
      </c>
      <c r="E215" s="307"/>
      <c r="F215" s="307"/>
    </row>
    <row r="216" spans="1:6" x14ac:dyDescent="0.25">
      <c r="A216" s="124"/>
      <c r="B216" s="125">
        <v>1.5</v>
      </c>
      <c r="C216" s="297">
        <v>450.25</v>
      </c>
      <c r="E216" s="307"/>
      <c r="F216" s="307"/>
    </row>
    <row r="217" spans="1:6" x14ac:dyDescent="0.25">
      <c r="A217" s="124"/>
      <c r="B217" s="125">
        <v>2</v>
      </c>
      <c r="C217" s="297">
        <v>450.25</v>
      </c>
      <c r="E217" s="307"/>
      <c r="F217" s="307"/>
    </row>
    <row r="218" spans="1:6" x14ac:dyDescent="0.25">
      <c r="A218" s="124"/>
      <c r="B218" s="125">
        <v>2.5</v>
      </c>
      <c r="C218" s="297">
        <v>538</v>
      </c>
      <c r="E218" s="307"/>
      <c r="F218" s="307"/>
    </row>
    <row r="219" spans="1:6" x14ac:dyDescent="0.25">
      <c r="A219" s="124"/>
      <c r="B219" s="125">
        <v>3</v>
      </c>
      <c r="C219" s="297">
        <v>538</v>
      </c>
      <c r="E219" s="307"/>
      <c r="F219" s="307"/>
    </row>
    <row r="220" spans="1:6" x14ac:dyDescent="0.25">
      <c r="A220" s="124"/>
      <c r="B220" s="125">
        <v>4</v>
      </c>
      <c r="C220" s="297">
        <v>747.5</v>
      </c>
      <c r="E220" s="307"/>
      <c r="F220" s="307"/>
    </row>
    <row r="221" spans="1:6" x14ac:dyDescent="0.25">
      <c r="A221" s="124"/>
      <c r="B221" s="125">
        <v>5</v>
      </c>
      <c r="C221" s="297">
        <v>1195.5</v>
      </c>
      <c r="E221" s="307"/>
      <c r="F221" s="307"/>
    </row>
    <row r="222" spans="1:6" x14ac:dyDescent="0.25">
      <c r="A222" s="124"/>
      <c r="B222" s="125">
        <v>6</v>
      </c>
      <c r="C222" s="297">
        <v>1195.5</v>
      </c>
      <c r="E222" s="307"/>
      <c r="F222" s="307"/>
    </row>
    <row r="223" spans="1:6" x14ac:dyDescent="0.25">
      <c r="A223" s="124"/>
      <c r="B223" s="125">
        <v>8</v>
      </c>
      <c r="C223" s="297">
        <v>1863</v>
      </c>
      <c r="E223" s="307"/>
      <c r="F223" s="307"/>
    </row>
    <row r="224" spans="1:6" x14ac:dyDescent="0.25">
      <c r="A224" s="124"/>
      <c r="B224" s="125">
        <v>10</v>
      </c>
      <c r="C224" s="297">
        <v>17284.25</v>
      </c>
      <c r="E224" s="307"/>
      <c r="F224" s="307"/>
    </row>
    <row r="225" spans="1:6" x14ac:dyDescent="0.25">
      <c r="A225" s="134"/>
      <c r="B225" s="64">
        <v>12</v>
      </c>
      <c r="C225" s="297">
        <v>26044</v>
      </c>
      <c r="E225" s="307"/>
      <c r="F225" s="307"/>
    </row>
    <row r="226" spans="1:6" x14ac:dyDescent="0.25">
      <c r="B226" s="64">
        <v>14</v>
      </c>
      <c r="C226" s="297">
        <v>29363.75</v>
      </c>
      <c r="E226" s="307"/>
      <c r="F226" s="307"/>
    </row>
    <row r="227" spans="1:6" x14ac:dyDescent="0.25">
      <c r="B227" s="64">
        <v>16</v>
      </c>
      <c r="C227" s="297">
        <v>32119.25</v>
      </c>
      <c r="E227" s="307"/>
      <c r="F227" s="307"/>
    </row>
    <row r="228" spans="1:6" x14ac:dyDescent="0.25">
      <c r="A228" s="282" t="s">
        <v>5860</v>
      </c>
      <c r="B228" s="125">
        <v>0.5</v>
      </c>
      <c r="C228" s="297">
        <v>450.25</v>
      </c>
      <c r="E228" s="307"/>
      <c r="F228" s="307"/>
    </row>
    <row r="229" spans="1:6" x14ac:dyDescent="0.25">
      <c r="A229" s="286"/>
      <c r="B229" s="125">
        <v>0.75</v>
      </c>
      <c r="C229" s="297">
        <v>450.25</v>
      </c>
      <c r="E229" s="307"/>
      <c r="F229" s="307"/>
    </row>
    <row r="230" spans="1:6" x14ac:dyDescent="0.25">
      <c r="A230" s="124"/>
      <c r="B230" s="125">
        <v>1</v>
      </c>
      <c r="C230" s="297">
        <v>508</v>
      </c>
      <c r="E230" s="307"/>
      <c r="F230" s="307"/>
    </row>
    <row r="231" spans="1:6" x14ac:dyDescent="0.25">
      <c r="A231" s="124"/>
      <c r="B231" s="125">
        <v>1.25</v>
      </c>
      <c r="C231" s="297">
        <v>597.75</v>
      </c>
      <c r="E231" s="307"/>
      <c r="F231" s="307"/>
    </row>
    <row r="232" spans="1:6" x14ac:dyDescent="0.25">
      <c r="A232" s="124"/>
      <c r="B232" s="125">
        <v>1.5</v>
      </c>
      <c r="C232" s="297">
        <v>597.75</v>
      </c>
      <c r="E232" s="307"/>
      <c r="F232" s="307"/>
    </row>
    <row r="233" spans="1:6" x14ac:dyDescent="0.25">
      <c r="A233" s="124"/>
      <c r="B233" s="125">
        <v>2</v>
      </c>
      <c r="C233" s="297">
        <v>747.5</v>
      </c>
      <c r="E233" s="307"/>
      <c r="F233" s="307"/>
    </row>
    <row r="234" spans="1:6" x14ac:dyDescent="0.25">
      <c r="A234" s="124"/>
      <c r="B234" s="125">
        <v>2.5</v>
      </c>
      <c r="C234" s="297">
        <v>954.5</v>
      </c>
      <c r="E234" s="307"/>
      <c r="F234" s="307"/>
    </row>
    <row r="235" spans="1:6" x14ac:dyDescent="0.25">
      <c r="A235" s="124"/>
      <c r="B235" s="125">
        <v>3</v>
      </c>
      <c r="C235" s="297">
        <v>954.5</v>
      </c>
      <c r="E235" s="307"/>
      <c r="F235" s="307"/>
    </row>
    <row r="236" spans="1:6" x14ac:dyDescent="0.25">
      <c r="A236" s="124"/>
      <c r="B236" s="125">
        <v>4</v>
      </c>
      <c r="C236" s="297">
        <v>1195.5</v>
      </c>
      <c r="E236" s="307"/>
      <c r="F236" s="307"/>
    </row>
    <row r="237" spans="1:6" x14ac:dyDescent="0.25">
      <c r="A237" s="124"/>
      <c r="B237" s="125">
        <v>5</v>
      </c>
      <c r="C237" s="297">
        <v>1785</v>
      </c>
      <c r="E237" s="307"/>
      <c r="F237" s="307"/>
    </row>
    <row r="238" spans="1:6" x14ac:dyDescent="0.25">
      <c r="A238" s="124"/>
      <c r="B238" s="125">
        <v>6</v>
      </c>
      <c r="C238" s="297">
        <v>1785</v>
      </c>
      <c r="E238" s="307"/>
      <c r="F238" s="307"/>
    </row>
    <row r="239" spans="1:6" x14ac:dyDescent="0.25">
      <c r="A239" s="124"/>
      <c r="B239" s="125">
        <v>8</v>
      </c>
      <c r="C239" s="297">
        <v>2679.75</v>
      </c>
      <c r="E239" s="307"/>
      <c r="F239" s="307"/>
    </row>
    <row r="240" spans="1:6" x14ac:dyDescent="0.25">
      <c r="A240" s="124"/>
      <c r="B240" s="125">
        <v>10</v>
      </c>
      <c r="C240" s="297">
        <v>17284.25</v>
      </c>
      <c r="E240" s="307"/>
      <c r="F240" s="307"/>
    </row>
    <row r="241" spans="1:6" x14ac:dyDescent="0.25">
      <c r="A241" s="124"/>
      <c r="B241" s="125">
        <v>12</v>
      </c>
      <c r="C241" s="297">
        <v>26044</v>
      </c>
      <c r="E241" s="307"/>
      <c r="F241" s="307"/>
    </row>
    <row r="242" spans="1:6" x14ac:dyDescent="0.25">
      <c r="B242" s="64">
        <v>14</v>
      </c>
      <c r="C242" s="297">
        <v>29363.75</v>
      </c>
      <c r="E242" s="307"/>
      <c r="F242" s="307"/>
    </row>
    <row r="243" spans="1:6" x14ac:dyDescent="0.25">
      <c r="B243" s="64">
        <v>16</v>
      </c>
      <c r="C243" s="297">
        <v>32119.25</v>
      </c>
      <c r="E243" s="307"/>
      <c r="F243" s="307"/>
    </row>
    <row r="244" spans="1:6" x14ac:dyDescent="0.25">
      <c r="A244" s="282" t="s">
        <v>5887</v>
      </c>
      <c r="B244" s="125">
        <v>2</v>
      </c>
      <c r="C244" s="297">
        <v>299</v>
      </c>
      <c r="E244" s="307"/>
      <c r="F244" s="307"/>
    </row>
    <row r="245" spans="1:6" x14ac:dyDescent="0.25">
      <c r="A245" s="286"/>
      <c r="B245" s="125">
        <v>2.5</v>
      </c>
      <c r="C245" s="297">
        <v>299</v>
      </c>
      <c r="E245" s="307"/>
      <c r="F245" s="307"/>
    </row>
    <row r="246" spans="1:6" x14ac:dyDescent="0.25">
      <c r="A246" s="124"/>
      <c r="B246" s="125">
        <v>3</v>
      </c>
      <c r="C246" s="297">
        <v>299</v>
      </c>
      <c r="E246" s="307"/>
      <c r="F246" s="307"/>
    </row>
    <row r="247" spans="1:6" x14ac:dyDescent="0.25">
      <c r="A247" s="124"/>
      <c r="B247" s="125">
        <v>4</v>
      </c>
      <c r="C247" s="297">
        <v>358.75</v>
      </c>
      <c r="E247" s="307"/>
      <c r="F247" s="307"/>
    </row>
    <row r="248" spans="1:6" x14ac:dyDescent="0.25">
      <c r="A248" s="124"/>
      <c r="B248" s="125">
        <v>5</v>
      </c>
      <c r="C248" s="297">
        <v>430.5</v>
      </c>
      <c r="E248" s="307"/>
      <c r="F248" s="307"/>
    </row>
    <row r="249" spans="1:6" x14ac:dyDescent="0.25">
      <c r="A249" s="124"/>
      <c r="B249" s="125">
        <v>6</v>
      </c>
      <c r="C249" s="297">
        <v>510.25</v>
      </c>
      <c r="E249" s="307"/>
      <c r="F249" s="307"/>
    </row>
    <row r="250" spans="1:6" x14ac:dyDescent="0.25">
      <c r="A250" s="124"/>
      <c r="B250" s="125">
        <v>8</v>
      </c>
      <c r="C250" s="297">
        <v>747.5</v>
      </c>
      <c r="E250" s="307"/>
      <c r="F250" s="307"/>
    </row>
    <row r="251" spans="1:6" x14ac:dyDescent="0.25">
      <c r="A251" s="124"/>
      <c r="B251" s="125">
        <v>10</v>
      </c>
      <c r="C251" s="297">
        <v>896.75</v>
      </c>
      <c r="E251" s="307"/>
      <c r="F251" s="307"/>
    </row>
    <row r="252" spans="1:6" x14ac:dyDescent="0.25">
      <c r="A252" s="124"/>
      <c r="B252" s="64">
        <v>12</v>
      </c>
      <c r="C252" s="297">
        <v>1195.5</v>
      </c>
      <c r="E252" s="307"/>
      <c r="F252" s="307"/>
    </row>
    <row r="253" spans="1:6" x14ac:dyDescent="0.25">
      <c r="A253" s="282" t="s">
        <v>5888</v>
      </c>
      <c r="B253" s="125">
        <v>0.5</v>
      </c>
      <c r="C253" s="297">
        <v>358.75</v>
      </c>
      <c r="E253" s="307"/>
      <c r="F253" s="307"/>
    </row>
    <row r="254" spans="1:6" x14ac:dyDescent="0.25">
      <c r="A254" s="286"/>
      <c r="B254" s="125">
        <v>0.75</v>
      </c>
      <c r="C254" s="297">
        <v>358.75</v>
      </c>
      <c r="E254" s="307"/>
      <c r="F254" s="307"/>
    </row>
    <row r="255" spans="1:6" x14ac:dyDescent="0.25">
      <c r="A255" s="124"/>
      <c r="B255" s="125">
        <v>1</v>
      </c>
      <c r="C255" s="297">
        <v>358.75</v>
      </c>
      <c r="E255" s="307"/>
      <c r="F255" s="307"/>
    </row>
    <row r="256" spans="1:6" x14ac:dyDescent="0.25">
      <c r="A256" s="124"/>
      <c r="B256" s="125">
        <v>1.25</v>
      </c>
      <c r="C256" s="297">
        <v>358.75</v>
      </c>
      <c r="E256" s="307"/>
      <c r="F256" s="307"/>
    </row>
    <row r="257" spans="1:6" x14ac:dyDescent="0.25">
      <c r="A257" s="124"/>
      <c r="B257" s="125">
        <v>1.5</v>
      </c>
      <c r="C257" s="297">
        <v>358.75</v>
      </c>
      <c r="E257" s="307"/>
      <c r="F257" s="307"/>
    </row>
    <row r="258" spans="1:6" x14ac:dyDescent="0.25">
      <c r="A258" s="124"/>
      <c r="B258" s="125">
        <v>2</v>
      </c>
      <c r="C258" s="297">
        <v>358.75</v>
      </c>
      <c r="E258" s="307"/>
      <c r="F258" s="307"/>
    </row>
    <row r="259" spans="1:6" x14ac:dyDescent="0.25">
      <c r="A259" s="282" t="s">
        <v>5889</v>
      </c>
      <c r="B259" s="125">
        <v>1</v>
      </c>
      <c r="C259" s="297">
        <v>358.75</v>
      </c>
      <c r="E259" s="307"/>
      <c r="F259" s="307"/>
    </row>
    <row r="260" spans="1:6" x14ac:dyDescent="0.25">
      <c r="A260" s="286"/>
      <c r="B260" s="125">
        <v>1.25</v>
      </c>
      <c r="C260" s="297">
        <v>358.75</v>
      </c>
      <c r="E260" s="307"/>
      <c r="F260" s="307"/>
    </row>
    <row r="261" spans="1:6" x14ac:dyDescent="0.25">
      <c r="A261" s="124"/>
      <c r="B261" s="125">
        <v>1.5</v>
      </c>
      <c r="C261" s="297">
        <v>450.25</v>
      </c>
      <c r="E261" s="307"/>
      <c r="F261" s="307"/>
    </row>
    <row r="262" spans="1:6" x14ac:dyDescent="0.25">
      <c r="A262" s="124"/>
      <c r="B262" s="125">
        <v>2</v>
      </c>
      <c r="C262" s="297">
        <v>450.25</v>
      </c>
      <c r="E262" s="307"/>
      <c r="F262" s="307"/>
    </row>
    <row r="263" spans="1:6" x14ac:dyDescent="0.25">
      <c r="A263" s="124"/>
      <c r="B263" s="125">
        <v>2.5</v>
      </c>
      <c r="C263" s="297">
        <v>538</v>
      </c>
      <c r="E263" s="307"/>
      <c r="F263" s="307"/>
    </row>
    <row r="264" spans="1:6" x14ac:dyDescent="0.25">
      <c r="A264" s="124"/>
      <c r="B264" s="125">
        <v>3</v>
      </c>
      <c r="C264" s="297">
        <v>597.75</v>
      </c>
      <c r="E264" s="307"/>
      <c r="F264" s="307"/>
    </row>
    <row r="265" spans="1:6" x14ac:dyDescent="0.25">
      <c r="A265" s="124"/>
      <c r="B265" s="125">
        <v>4</v>
      </c>
      <c r="C265" s="297">
        <v>747.5</v>
      </c>
      <c r="E265" s="307"/>
      <c r="F265" s="307"/>
    </row>
    <row r="266" spans="1:6" x14ac:dyDescent="0.25">
      <c r="B266" s="64">
        <v>5</v>
      </c>
      <c r="C266" s="297">
        <v>896.75</v>
      </c>
      <c r="E266" s="307"/>
      <c r="F266" s="307"/>
    </row>
    <row r="267" spans="1:6" x14ac:dyDescent="0.25">
      <c r="B267" s="64">
        <v>6</v>
      </c>
      <c r="C267" s="297">
        <v>1046.25</v>
      </c>
      <c r="E267" s="307"/>
      <c r="F267" s="307"/>
    </row>
    <row r="268" spans="1:6" x14ac:dyDescent="0.25">
      <c r="B268" s="64">
        <v>8</v>
      </c>
      <c r="C268" s="297">
        <v>1195.5</v>
      </c>
      <c r="E268" s="307"/>
      <c r="F268" s="307"/>
    </row>
    <row r="269" spans="1:6" x14ac:dyDescent="0.25">
      <c r="A269" s="282" t="s">
        <v>5890</v>
      </c>
      <c r="B269" s="125">
        <v>1</v>
      </c>
      <c r="C269" s="297">
        <v>538</v>
      </c>
      <c r="E269" s="307"/>
      <c r="F269" s="307"/>
    </row>
    <row r="270" spans="1:6" x14ac:dyDescent="0.25">
      <c r="A270" s="286"/>
      <c r="B270" s="125">
        <v>1.25</v>
      </c>
      <c r="C270" s="297">
        <v>597.75</v>
      </c>
      <c r="E270" s="307"/>
      <c r="F270" s="307"/>
    </row>
    <row r="271" spans="1:6" x14ac:dyDescent="0.25">
      <c r="A271" s="124"/>
      <c r="B271" s="125">
        <v>1.5</v>
      </c>
      <c r="C271" s="297">
        <v>747.5</v>
      </c>
      <c r="E271" s="307"/>
      <c r="F271" s="307"/>
    </row>
    <row r="272" spans="1:6" x14ac:dyDescent="0.25">
      <c r="A272" s="124"/>
      <c r="B272" s="125">
        <v>2</v>
      </c>
      <c r="C272" s="297">
        <v>836.5</v>
      </c>
      <c r="E272" s="307"/>
      <c r="F272" s="307"/>
    </row>
    <row r="273" spans="1:6" x14ac:dyDescent="0.25">
      <c r="A273" s="124"/>
      <c r="B273" s="125">
        <v>3</v>
      </c>
      <c r="C273" s="297">
        <v>1195.5</v>
      </c>
      <c r="E273" s="307"/>
      <c r="F273" s="307"/>
    </row>
    <row r="274" spans="1:6" x14ac:dyDescent="0.25">
      <c r="A274" s="120"/>
      <c r="B274" s="125">
        <v>4</v>
      </c>
      <c r="C274" s="297">
        <v>1785</v>
      </c>
      <c r="E274" s="307"/>
      <c r="F274" s="3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283-811A-4AFA-A78B-19CB37430D3E}">
  <sheetPr codeName="Sheet1"/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C464-FA32-41E6-9210-984A255AAF13}">
  <sheetPr codeName="Sheet4"/>
  <dimension ref="A1:F2793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21" bestFit="1" customWidth="1"/>
    <col min="2" max="2" width="13.140625" style="248" bestFit="1" customWidth="1"/>
    <col min="3" max="3" width="50.140625" bestFit="1" customWidth="1"/>
    <col min="4" max="4" width="20.28515625" bestFit="1" customWidth="1"/>
    <col min="5" max="5" width="28.28515625" bestFit="1" customWidth="1"/>
  </cols>
  <sheetData>
    <row r="1" spans="1:6" ht="15.75" thickBot="1" x14ac:dyDescent="0.3">
      <c r="A1" s="255" t="s">
        <v>5540</v>
      </c>
    </row>
    <row r="2" spans="1:6" s="176" customFormat="1" ht="15.75" thickBot="1" x14ac:dyDescent="0.3">
      <c r="A2" s="309" t="s">
        <v>3040</v>
      </c>
      <c r="B2" s="310" t="s">
        <v>5541</v>
      </c>
      <c r="C2" s="311" t="s">
        <v>3051</v>
      </c>
      <c r="D2" s="311" t="s">
        <v>3041</v>
      </c>
      <c r="E2" s="312" t="s">
        <v>5539</v>
      </c>
      <c r="F2" s="176" t="s">
        <v>5996</v>
      </c>
    </row>
    <row r="3" spans="1:6" x14ac:dyDescent="0.25">
      <c r="A3" s="332">
        <v>1000000257</v>
      </c>
      <c r="B3" s="248">
        <v>34.5</v>
      </c>
      <c r="C3" t="s">
        <v>6306</v>
      </c>
      <c r="D3" t="s">
        <v>3204</v>
      </c>
      <c r="E3" s="249" t="s">
        <v>3036</v>
      </c>
      <c r="F3">
        <v>1</v>
      </c>
    </row>
    <row r="4" spans="1:6" x14ac:dyDescent="0.25">
      <c r="A4" s="332">
        <v>1000000258</v>
      </c>
      <c r="B4" s="248">
        <v>47.5</v>
      </c>
      <c r="C4" t="s">
        <v>6307</v>
      </c>
      <c r="D4" t="s">
        <v>3204</v>
      </c>
      <c r="E4" s="249" t="s">
        <v>3036</v>
      </c>
      <c r="F4">
        <v>2</v>
      </c>
    </row>
    <row r="5" spans="1:6" x14ac:dyDescent="0.25">
      <c r="A5" s="332">
        <v>1000000259</v>
      </c>
      <c r="B5" s="248">
        <v>69.5</v>
      </c>
      <c r="C5" t="s">
        <v>6308</v>
      </c>
      <c r="D5" t="s">
        <v>3204</v>
      </c>
      <c r="E5" s="249" t="s">
        <v>3036</v>
      </c>
      <c r="F5">
        <v>3</v>
      </c>
    </row>
    <row r="6" spans="1:6" x14ac:dyDescent="0.25">
      <c r="A6" s="332">
        <v>1000000260</v>
      </c>
      <c r="B6" s="248">
        <v>84.5</v>
      </c>
      <c r="C6" t="s">
        <v>6309</v>
      </c>
      <c r="D6" t="s">
        <v>3204</v>
      </c>
      <c r="E6" s="249" t="s">
        <v>3036</v>
      </c>
      <c r="F6">
        <v>4</v>
      </c>
    </row>
    <row r="7" spans="1:6" x14ac:dyDescent="0.25">
      <c r="A7" s="332">
        <v>1000000261</v>
      </c>
      <c r="B7" s="248">
        <v>47.5</v>
      </c>
      <c r="C7" t="s">
        <v>6310</v>
      </c>
      <c r="D7" t="s">
        <v>3204</v>
      </c>
      <c r="E7" s="249" t="s">
        <v>3036</v>
      </c>
      <c r="F7">
        <v>5</v>
      </c>
    </row>
    <row r="8" spans="1:6" x14ac:dyDescent="0.25">
      <c r="A8" s="332">
        <v>1000000262</v>
      </c>
      <c r="B8" s="248">
        <v>69.5</v>
      </c>
      <c r="C8" t="s">
        <v>6311</v>
      </c>
      <c r="D8" t="s">
        <v>3204</v>
      </c>
      <c r="E8" s="249" t="s">
        <v>3036</v>
      </c>
      <c r="F8">
        <v>6</v>
      </c>
    </row>
    <row r="9" spans="1:6" x14ac:dyDescent="0.25">
      <c r="A9" s="332">
        <v>1000000263</v>
      </c>
      <c r="B9" s="248">
        <v>84.5</v>
      </c>
      <c r="C9" t="s">
        <v>6312</v>
      </c>
      <c r="D9" t="s">
        <v>3204</v>
      </c>
      <c r="E9" s="249" t="s">
        <v>3036</v>
      </c>
      <c r="F9">
        <v>7</v>
      </c>
    </row>
    <row r="10" spans="1:6" x14ac:dyDescent="0.25">
      <c r="A10" s="332">
        <v>1000000265</v>
      </c>
      <c r="B10" s="248">
        <v>448</v>
      </c>
      <c r="C10" t="s">
        <v>6304</v>
      </c>
      <c r="D10" t="s">
        <v>3204</v>
      </c>
      <c r="E10" s="249" t="s">
        <v>3036</v>
      </c>
      <c r="F10">
        <v>8</v>
      </c>
    </row>
    <row r="11" spans="1:6" x14ac:dyDescent="0.25">
      <c r="A11" s="332">
        <v>1000000266</v>
      </c>
      <c r="B11" s="248">
        <v>541</v>
      </c>
      <c r="C11" t="s">
        <v>6305</v>
      </c>
      <c r="D11" t="s">
        <v>3204</v>
      </c>
      <c r="E11" s="249" t="s">
        <v>3036</v>
      </c>
      <c r="F11">
        <v>9</v>
      </c>
    </row>
    <row r="12" spans="1:6" x14ac:dyDescent="0.25">
      <c r="A12" s="332">
        <v>1000000267</v>
      </c>
      <c r="B12" s="248">
        <v>692</v>
      </c>
      <c r="C12" t="s">
        <v>6315</v>
      </c>
      <c r="D12" t="s">
        <v>3204</v>
      </c>
      <c r="E12" s="249" t="s">
        <v>3036</v>
      </c>
      <c r="F12">
        <v>10</v>
      </c>
    </row>
    <row r="13" spans="1:6" x14ac:dyDescent="0.25">
      <c r="A13" s="332">
        <v>1000000268</v>
      </c>
      <c r="B13" s="248">
        <v>80</v>
      </c>
      <c r="C13" t="s">
        <v>6316</v>
      </c>
      <c r="D13" t="s">
        <v>3204</v>
      </c>
      <c r="E13" s="249" t="s">
        <v>3036</v>
      </c>
      <c r="F13">
        <v>11</v>
      </c>
    </row>
    <row r="14" spans="1:6" x14ac:dyDescent="0.25">
      <c r="A14" s="332">
        <v>1000000269</v>
      </c>
      <c r="B14" s="248">
        <v>123</v>
      </c>
      <c r="C14" t="s">
        <v>6317</v>
      </c>
      <c r="D14" t="s">
        <v>3204</v>
      </c>
      <c r="E14" s="249" t="s">
        <v>3036</v>
      </c>
      <c r="F14">
        <v>12</v>
      </c>
    </row>
    <row r="15" spans="1:6" x14ac:dyDescent="0.25">
      <c r="A15" s="332">
        <v>1000000270</v>
      </c>
      <c r="B15" s="248">
        <v>140</v>
      </c>
      <c r="C15" t="s">
        <v>6313</v>
      </c>
      <c r="D15" t="s">
        <v>3204</v>
      </c>
      <c r="E15" s="249" t="s">
        <v>3036</v>
      </c>
      <c r="F15">
        <v>13</v>
      </c>
    </row>
    <row r="16" spans="1:6" x14ac:dyDescent="0.25">
      <c r="A16" s="332">
        <v>1000000271</v>
      </c>
      <c r="B16" s="248">
        <v>168</v>
      </c>
      <c r="C16" t="s">
        <v>6314</v>
      </c>
      <c r="D16" t="s">
        <v>3204</v>
      </c>
      <c r="E16" s="249" t="s">
        <v>3036</v>
      </c>
      <c r="F16">
        <v>14</v>
      </c>
    </row>
    <row r="17" spans="1:6" x14ac:dyDescent="0.25">
      <c r="A17" s="332" t="s">
        <v>6262</v>
      </c>
      <c r="B17" s="248">
        <v>329.5</v>
      </c>
      <c r="C17" t="s">
        <v>6288</v>
      </c>
      <c r="D17" t="s">
        <v>3204</v>
      </c>
      <c r="E17" s="249" t="s">
        <v>3036</v>
      </c>
      <c r="F17">
        <v>15</v>
      </c>
    </row>
    <row r="18" spans="1:6" x14ac:dyDescent="0.25">
      <c r="A18" s="332" t="s">
        <v>6263</v>
      </c>
      <c r="B18" s="248">
        <v>1002</v>
      </c>
      <c r="C18" t="s">
        <v>6289</v>
      </c>
      <c r="D18" t="s">
        <v>3204</v>
      </c>
      <c r="E18" s="249" t="s">
        <v>3036</v>
      </c>
      <c r="F18">
        <v>16</v>
      </c>
    </row>
    <row r="19" spans="1:6" x14ac:dyDescent="0.25">
      <c r="A19" s="332" t="s">
        <v>6264</v>
      </c>
      <c r="B19" s="248">
        <v>1044</v>
      </c>
      <c r="C19" t="s">
        <v>6290</v>
      </c>
      <c r="D19" t="s">
        <v>3204</v>
      </c>
      <c r="E19" s="249" t="s">
        <v>3036</v>
      </c>
      <c r="F19">
        <v>17</v>
      </c>
    </row>
    <row r="20" spans="1:6" x14ac:dyDescent="0.25">
      <c r="A20" s="332" t="s">
        <v>6265</v>
      </c>
      <c r="B20" s="248">
        <v>2100</v>
      </c>
      <c r="C20" t="s">
        <v>6291</v>
      </c>
      <c r="D20" t="s">
        <v>3204</v>
      </c>
      <c r="E20" s="249" t="s">
        <v>3036</v>
      </c>
      <c r="F20">
        <v>18</v>
      </c>
    </row>
    <row r="21" spans="1:6" x14ac:dyDescent="0.25">
      <c r="A21" s="332" t="s">
        <v>6266</v>
      </c>
      <c r="B21" s="248">
        <v>4.75</v>
      </c>
      <c r="C21" t="s">
        <v>6292</v>
      </c>
      <c r="D21" t="s">
        <v>3204</v>
      </c>
      <c r="E21" s="249" t="s">
        <v>3036</v>
      </c>
      <c r="F21">
        <v>19</v>
      </c>
    </row>
    <row r="22" spans="1:6" x14ac:dyDescent="0.25">
      <c r="A22" s="332" t="s">
        <v>6267</v>
      </c>
      <c r="B22" s="248">
        <v>6.75</v>
      </c>
      <c r="C22" t="s">
        <v>6293</v>
      </c>
      <c r="D22" t="s">
        <v>3204</v>
      </c>
      <c r="E22" s="249" t="s">
        <v>3036</v>
      </c>
      <c r="F22">
        <v>20</v>
      </c>
    </row>
    <row r="23" spans="1:6" x14ac:dyDescent="0.25">
      <c r="A23" s="332" t="s">
        <v>6268</v>
      </c>
      <c r="B23" s="248">
        <v>8.25</v>
      </c>
      <c r="C23" t="s">
        <v>6294</v>
      </c>
      <c r="D23" t="s">
        <v>3204</v>
      </c>
      <c r="E23" s="249" t="s">
        <v>3036</v>
      </c>
      <c r="F23">
        <v>21</v>
      </c>
    </row>
    <row r="24" spans="1:6" x14ac:dyDescent="0.25">
      <c r="A24" t="s">
        <v>52</v>
      </c>
      <c r="B24" s="248">
        <v>36.25</v>
      </c>
      <c r="C24" t="s">
        <v>3052</v>
      </c>
      <c r="D24" t="s">
        <v>3053</v>
      </c>
      <c r="E24" s="249" t="s">
        <v>3043</v>
      </c>
      <c r="F24">
        <v>22</v>
      </c>
    </row>
    <row r="25" spans="1:6" x14ac:dyDescent="0.25">
      <c r="A25" t="s">
        <v>90</v>
      </c>
      <c r="B25" s="248">
        <v>26</v>
      </c>
      <c r="C25" t="s">
        <v>3054</v>
      </c>
      <c r="D25" t="s">
        <v>3053</v>
      </c>
      <c r="E25" s="249" t="s">
        <v>3043</v>
      </c>
      <c r="F25">
        <v>23</v>
      </c>
    </row>
    <row r="26" spans="1:6" x14ac:dyDescent="0.25">
      <c r="A26" t="s">
        <v>2609</v>
      </c>
      <c r="B26" s="248">
        <v>239.5</v>
      </c>
      <c r="C26" t="s">
        <v>3055</v>
      </c>
      <c r="D26" t="s">
        <v>3056</v>
      </c>
      <c r="E26" s="249" t="s">
        <v>3028</v>
      </c>
      <c r="F26">
        <v>24</v>
      </c>
    </row>
    <row r="27" spans="1:6" x14ac:dyDescent="0.25">
      <c r="A27" t="s">
        <v>653</v>
      </c>
      <c r="B27" s="248">
        <v>131</v>
      </c>
      <c r="C27" t="s">
        <v>3057</v>
      </c>
      <c r="D27" t="s">
        <v>3053</v>
      </c>
      <c r="E27" s="249" t="s">
        <v>3045</v>
      </c>
      <c r="F27">
        <v>25</v>
      </c>
    </row>
    <row r="28" spans="1:6" x14ac:dyDescent="0.25">
      <c r="A28" t="s">
        <v>680</v>
      </c>
      <c r="B28" s="248">
        <v>122.5</v>
      </c>
      <c r="C28" t="s">
        <v>3057</v>
      </c>
      <c r="D28" t="s">
        <v>3053</v>
      </c>
      <c r="E28" s="249" t="s">
        <v>3045</v>
      </c>
      <c r="F28">
        <v>26</v>
      </c>
    </row>
    <row r="29" spans="1:6" x14ac:dyDescent="0.25">
      <c r="A29" t="s">
        <v>1049</v>
      </c>
      <c r="B29" s="248">
        <v>271</v>
      </c>
      <c r="C29" t="s">
        <v>3058</v>
      </c>
      <c r="D29" t="s">
        <v>3053</v>
      </c>
      <c r="E29" s="249" t="s">
        <v>3046</v>
      </c>
      <c r="F29">
        <v>27</v>
      </c>
    </row>
    <row r="30" spans="1:6" x14ac:dyDescent="0.25">
      <c r="A30" t="s">
        <v>1088</v>
      </c>
      <c r="B30" s="248">
        <v>271</v>
      </c>
      <c r="C30" t="s">
        <v>3059</v>
      </c>
      <c r="D30" t="s">
        <v>3053</v>
      </c>
      <c r="E30" s="249" t="s">
        <v>3046</v>
      </c>
      <c r="F30">
        <v>28</v>
      </c>
    </row>
    <row r="31" spans="1:6" x14ac:dyDescent="0.25">
      <c r="A31" t="s">
        <v>753</v>
      </c>
      <c r="B31" s="248">
        <v>616</v>
      </c>
      <c r="C31" t="s">
        <v>3060</v>
      </c>
      <c r="D31" t="s">
        <v>3053</v>
      </c>
      <c r="E31" s="249" t="s">
        <v>3045</v>
      </c>
      <c r="F31">
        <v>29</v>
      </c>
    </row>
    <row r="32" spans="1:6" x14ac:dyDescent="0.25">
      <c r="A32" t="s">
        <v>1125</v>
      </c>
      <c r="B32" s="248">
        <v>889</v>
      </c>
      <c r="C32" t="s">
        <v>3061</v>
      </c>
      <c r="D32" t="s">
        <v>3053</v>
      </c>
      <c r="E32" s="249" t="s">
        <v>3046</v>
      </c>
      <c r="F32">
        <v>30</v>
      </c>
    </row>
    <row r="33" spans="1:6" x14ac:dyDescent="0.25">
      <c r="A33" t="s">
        <v>57</v>
      </c>
      <c r="B33" s="248">
        <v>36.25</v>
      </c>
      <c r="C33" t="s">
        <v>3062</v>
      </c>
      <c r="D33" t="s">
        <v>3053</v>
      </c>
      <c r="E33" s="249" t="s">
        <v>3043</v>
      </c>
      <c r="F33">
        <v>31</v>
      </c>
    </row>
    <row r="34" spans="1:6" x14ac:dyDescent="0.25">
      <c r="A34" t="s">
        <v>91</v>
      </c>
      <c r="B34" s="248">
        <v>26</v>
      </c>
      <c r="C34" t="s">
        <v>3063</v>
      </c>
      <c r="D34" t="s">
        <v>3053</v>
      </c>
      <c r="E34" s="249" t="s">
        <v>3043</v>
      </c>
      <c r="F34">
        <v>32</v>
      </c>
    </row>
    <row r="35" spans="1:6" x14ac:dyDescent="0.25">
      <c r="A35" t="s">
        <v>179</v>
      </c>
      <c r="B35" s="248">
        <v>477</v>
      </c>
      <c r="C35" t="s">
        <v>3064</v>
      </c>
      <c r="D35" t="s">
        <v>3053</v>
      </c>
      <c r="E35" s="249" t="s">
        <v>3043</v>
      </c>
      <c r="F35">
        <v>33</v>
      </c>
    </row>
    <row r="36" spans="1:6" x14ac:dyDescent="0.25">
      <c r="A36" t="s">
        <v>2610</v>
      </c>
      <c r="B36" s="248">
        <v>239.5</v>
      </c>
      <c r="C36" t="s">
        <v>3065</v>
      </c>
      <c r="D36" t="s">
        <v>3056</v>
      </c>
      <c r="E36" s="249" t="s">
        <v>3028</v>
      </c>
      <c r="F36">
        <v>34</v>
      </c>
    </row>
    <row r="37" spans="1:6" x14ac:dyDescent="0.25">
      <c r="A37" t="s">
        <v>656</v>
      </c>
      <c r="B37" s="248">
        <v>131</v>
      </c>
      <c r="C37" t="s">
        <v>3066</v>
      </c>
      <c r="D37" t="s">
        <v>3053</v>
      </c>
      <c r="E37" s="249" t="s">
        <v>3045</v>
      </c>
      <c r="F37">
        <v>35</v>
      </c>
    </row>
    <row r="38" spans="1:6" x14ac:dyDescent="0.25">
      <c r="A38" t="s">
        <v>681</v>
      </c>
      <c r="B38" s="248">
        <v>122.5</v>
      </c>
      <c r="C38" t="s">
        <v>3067</v>
      </c>
      <c r="D38" t="s">
        <v>3053</v>
      </c>
      <c r="E38" s="249" t="s">
        <v>3045</v>
      </c>
      <c r="F38">
        <v>36</v>
      </c>
    </row>
    <row r="39" spans="1:6" x14ac:dyDescent="0.25">
      <c r="A39" t="s">
        <v>1052</v>
      </c>
      <c r="B39" s="248">
        <v>271</v>
      </c>
      <c r="C39" t="s">
        <v>3068</v>
      </c>
      <c r="D39" t="s">
        <v>3053</v>
      </c>
      <c r="E39" s="249" t="s">
        <v>3046</v>
      </c>
      <c r="F39">
        <v>37</v>
      </c>
    </row>
    <row r="40" spans="1:6" x14ac:dyDescent="0.25">
      <c r="A40" t="s">
        <v>754</v>
      </c>
      <c r="B40" s="248">
        <v>616</v>
      </c>
      <c r="C40" t="s">
        <v>3069</v>
      </c>
      <c r="D40" t="s">
        <v>3053</v>
      </c>
      <c r="E40" s="249" t="s">
        <v>3045</v>
      </c>
      <c r="F40">
        <v>38</v>
      </c>
    </row>
    <row r="41" spans="1:6" x14ac:dyDescent="0.25">
      <c r="A41" t="s">
        <v>1126</v>
      </c>
      <c r="B41" s="248">
        <v>889</v>
      </c>
      <c r="C41" t="s">
        <v>3070</v>
      </c>
      <c r="D41" t="s">
        <v>3053</v>
      </c>
      <c r="E41" s="249" t="s">
        <v>3046</v>
      </c>
      <c r="F41">
        <v>39</v>
      </c>
    </row>
    <row r="42" spans="1:6" x14ac:dyDescent="0.25">
      <c r="A42" t="s">
        <v>60</v>
      </c>
      <c r="B42" s="248">
        <v>36.25</v>
      </c>
      <c r="C42" t="s">
        <v>3071</v>
      </c>
      <c r="D42" t="s">
        <v>3053</v>
      </c>
      <c r="E42" s="249" t="s">
        <v>3043</v>
      </c>
      <c r="F42">
        <v>40</v>
      </c>
    </row>
    <row r="43" spans="1:6" x14ac:dyDescent="0.25">
      <c r="A43" t="s">
        <v>92</v>
      </c>
      <c r="B43" s="248">
        <v>26</v>
      </c>
      <c r="C43" t="s">
        <v>3072</v>
      </c>
      <c r="D43" t="s">
        <v>3053</v>
      </c>
      <c r="E43" s="249" t="s">
        <v>3043</v>
      </c>
      <c r="F43">
        <v>41</v>
      </c>
    </row>
    <row r="44" spans="1:6" x14ac:dyDescent="0.25">
      <c r="A44" t="s">
        <v>1272</v>
      </c>
      <c r="B44" s="248">
        <v>313</v>
      </c>
      <c r="C44" t="s">
        <v>3073</v>
      </c>
      <c r="D44" t="s">
        <v>3053</v>
      </c>
      <c r="E44" s="249" t="s">
        <v>3047</v>
      </c>
      <c r="F44">
        <v>42</v>
      </c>
    </row>
    <row r="45" spans="1:6" x14ac:dyDescent="0.25">
      <c r="A45" t="s">
        <v>1622</v>
      </c>
      <c r="B45" s="248">
        <v>511.5</v>
      </c>
      <c r="C45" t="s">
        <v>3074</v>
      </c>
      <c r="D45" t="s">
        <v>3053</v>
      </c>
      <c r="E45" s="249" t="s">
        <v>3048</v>
      </c>
      <c r="F45">
        <v>43</v>
      </c>
    </row>
    <row r="46" spans="1:6" x14ac:dyDescent="0.25">
      <c r="A46" t="s">
        <v>1791</v>
      </c>
      <c r="B46" s="248">
        <v>644</v>
      </c>
      <c r="C46" t="s">
        <v>3075</v>
      </c>
      <c r="D46" t="s">
        <v>3053</v>
      </c>
      <c r="E46" s="249" t="s">
        <v>3049</v>
      </c>
      <c r="F46">
        <v>44</v>
      </c>
    </row>
    <row r="47" spans="1:6" x14ac:dyDescent="0.25">
      <c r="A47" t="s">
        <v>181</v>
      </c>
      <c r="B47" s="248">
        <v>477</v>
      </c>
      <c r="C47" t="s">
        <v>3076</v>
      </c>
      <c r="D47" t="s">
        <v>3053</v>
      </c>
      <c r="E47" s="249" t="s">
        <v>3043</v>
      </c>
      <c r="F47">
        <v>45</v>
      </c>
    </row>
    <row r="48" spans="1:6" x14ac:dyDescent="0.25">
      <c r="A48" t="s">
        <v>2611</v>
      </c>
      <c r="B48" s="248">
        <v>239.5</v>
      </c>
      <c r="C48" t="s">
        <v>3077</v>
      </c>
      <c r="D48" t="s">
        <v>3056</v>
      </c>
      <c r="E48" s="249" t="s">
        <v>3028</v>
      </c>
      <c r="F48">
        <v>46</v>
      </c>
    </row>
    <row r="49" spans="1:6" x14ac:dyDescent="0.25">
      <c r="A49" t="s">
        <v>5773</v>
      </c>
      <c r="B49" s="248">
        <v>295.5</v>
      </c>
      <c r="C49" t="s">
        <v>5929</v>
      </c>
      <c r="D49" t="s">
        <v>3056</v>
      </c>
      <c r="E49" s="249" t="s">
        <v>3028</v>
      </c>
      <c r="F49">
        <v>47</v>
      </c>
    </row>
    <row r="50" spans="1:6" x14ac:dyDescent="0.25">
      <c r="A50" t="s">
        <v>659</v>
      </c>
      <c r="B50" s="248">
        <v>131</v>
      </c>
      <c r="C50" t="s">
        <v>3078</v>
      </c>
      <c r="D50" t="s">
        <v>3053</v>
      </c>
      <c r="E50" s="249" t="s">
        <v>3045</v>
      </c>
      <c r="F50">
        <v>48</v>
      </c>
    </row>
    <row r="51" spans="1:6" x14ac:dyDescent="0.25">
      <c r="A51" t="s">
        <v>1055</v>
      </c>
      <c r="B51" s="248">
        <v>285.5</v>
      </c>
      <c r="C51" t="s">
        <v>3079</v>
      </c>
      <c r="D51" t="s">
        <v>3053</v>
      </c>
      <c r="E51" s="249" t="s">
        <v>3046</v>
      </c>
      <c r="F51">
        <v>49</v>
      </c>
    </row>
    <row r="52" spans="1:6" x14ac:dyDescent="0.25">
      <c r="A52" t="s">
        <v>724</v>
      </c>
      <c r="B52" s="248">
        <v>131</v>
      </c>
      <c r="C52" t="s">
        <v>3080</v>
      </c>
      <c r="D52" t="s">
        <v>3053</v>
      </c>
      <c r="E52" s="249" t="s">
        <v>3045</v>
      </c>
      <c r="F52">
        <v>50</v>
      </c>
    </row>
    <row r="53" spans="1:6" x14ac:dyDescent="0.25">
      <c r="A53" t="s">
        <v>1094</v>
      </c>
      <c r="B53" s="248">
        <v>285.5</v>
      </c>
      <c r="C53" t="s">
        <v>3081</v>
      </c>
      <c r="D53" t="s">
        <v>3053</v>
      </c>
      <c r="E53" s="249" t="s">
        <v>3046</v>
      </c>
      <c r="F53">
        <v>51</v>
      </c>
    </row>
    <row r="54" spans="1:6" x14ac:dyDescent="0.25">
      <c r="A54" t="s">
        <v>1022</v>
      </c>
      <c r="B54" s="248">
        <v>1706</v>
      </c>
      <c r="C54" t="s">
        <v>3082</v>
      </c>
      <c r="D54" t="s">
        <v>3053</v>
      </c>
      <c r="E54" s="249" t="s">
        <v>3045</v>
      </c>
      <c r="F54">
        <v>52</v>
      </c>
    </row>
    <row r="55" spans="1:6" x14ac:dyDescent="0.25">
      <c r="A55" t="s">
        <v>5914</v>
      </c>
      <c r="B55" s="248">
        <v>3566</v>
      </c>
      <c r="C55" t="s">
        <v>5969</v>
      </c>
      <c r="D55" t="s">
        <v>3053</v>
      </c>
      <c r="E55" s="249" t="s">
        <v>3046</v>
      </c>
      <c r="F55">
        <v>53</v>
      </c>
    </row>
    <row r="56" spans="1:6" x14ac:dyDescent="0.25">
      <c r="A56" t="s">
        <v>755</v>
      </c>
      <c r="B56" s="248">
        <v>616</v>
      </c>
      <c r="C56" t="s">
        <v>3083</v>
      </c>
      <c r="D56" t="s">
        <v>3053</v>
      </c>
      <c r="E56" s="249" t="s">
        <v>3045</v>
      </c>
      <c r="F56">
        <v>54</v>
      </c>
    </row>
    <row r="57" spans="1:6" x14ac:dyDescent="0.25">
      <c r="A57" t="s">
        <v>5781</v>
      </c>
      <c r="B57" s="248">
        <v>1248</v>
      </c>
      <c r="C57" t="s">
        <v>5940</v>
      </c>
      <c r="D57" t="s">
        <v>3053</v>
      </c>
      <c r="E57" s="249" t="s">
        <v>3045</v>
      </c>
      <c r="F57">
        <v>55</v>
      </c>
    </row>
    <row r="58" spans="1:6" x14ac:dyDescent="0.25">
      <c r="A58" t="s">
        <v>1127</v>
      </c>
      <c r="B58" s="248">
        <v>889</v>
      </c>
      <c r="C58" t="s">
        <v>3084</v>
      </c>
      <c r="D58" t="s">
        <v>3053</v>
      </c>
      <c r="E58" s="249" t="s">
        <v>3046</v>
      </c>
      <c r="F58">
        <v>56</v>
      </c>
    </row>
    <row r="59" spans="1:6" x14ac:dyDescent="0.25">
      <c r="A59" t="s">
        <v>5803</v>
      </c>
      <c r="B59" s="248">
        <v>1466</v>
      </c>
      <c r="C59" t="s">
        <v>5945</v>
      </c>
      <c r="D59" t="s">
        <v>3053</v>
      </c>
      <c r="E59" s="249" t="s">
        <v>3046</v>
      </c>
      <c r="F59">
        <v>57</v>
      </c>
    </row>
    <row r="60" spans="1:6" x14ac:dyDescent="0.25">
      <c r="A60" t="s">
        <v>766</v>
      </c>
      <c r="B60" s="248">
        <v>679.5</v>
      </c>
      <c r="C60" t="s">
        <v>3085</v>
      </c>
      <c r="D60" t="s">
        <v>3053</v>
      </c>
      <c r="E60" s="249" t="s">
        <v>3045</v>
      </c>
      <c r="F60">
        <v>58</v>
      </c>
    </row>
    <row r="61" spans="1:6" x14ac:dyDescent="0.25">
      <c r="A61" t="s">
        <v>5791</v>
      </c>
      <c r="B61" s="248">
        <v>1248</v>
      </c>
      <c r="C61" t="s">
        <v>5941</v>
      </c>
      <c r="D61" t="s">
        <v>3053</v>
      </c>
      <c r="E61" s="249" t="s">
        <v>3045</v>
      </c>
      <c r="F61">
        <v>59</v>
      </c>
    </row>
    <row r="62" spans="1:6" x14ac:dyDescent="0.25">
      <c r="A62" t="s">
        <v>1135</v>
      </c>
      <c r="B62" s="248">
        <v>825</v>
      </c>
      <c r="C62" t="s">
        <v>3086</v>
      </c>
      <c r="D62" t="s">
        <v>3053</v>
      </c>
      <c r="E62" s="249" t="s">
        <v>3046</v>
      </c>
      <c r="F62">
        <v>60</v>
      </c>
    </row>
    <row r="63" spans="1:6" x14ac:dyDescent="0.25">
      <c r="A63" t="s">
        <v>5813</v>
      </c>
      <c r="B63" s="248">
        <v>1466</v>
      </c>
      <c r="C63" t="s">
        <v>5946</v>
      </c>
      <c r="D63" t="s">
        <v>3053</v>
      </c>
      <c r="E63" s="249" t="s">
        <v>3046</v>
      </c>
      <c r="F63">
        <v>61</v>
      </c>
    </row>
    <row r="64" spans="1:6" x14ac:dyDescent="0.25">
      <c r="A64" t="s">
        <v>810</v>
      </c>
      <c r="B64" s="248">
        <v>907</v>
      </c>
      <c r="C64" t="s">
        <v>3087</v>
      </c>
      <c r="D64" t="s">
        <v>3053</v>
      </c>
      <c r="E64" s="249" t="s">
        <v>3045</v>
      </c>
      <c r="F64">
        <v>62</v>
      </c>
    </row>
    <row r="65" spans="1:6" x14ac:dyDescent="0.25">
      <c r="A65" t="s">
        <v>817</v>
      </c>
      <c r="B65" s="248">
        <v>907</v>
      </c>
      <c r="C65" t="s">
        <v>3088</v>
      </c>
      <c r="D65" t="s">
        <v>3053</v>
      </c>
      <c r="E65" s="249" t="s">
        <v>3045</v>
      </c>
      <c r="F65">
        <v>63</v>
      </c>
    </row>
    <row r="66" spans="1:6" x14ac:dyDescent="0.25">
      <c r="A66" t="s">
        <v>63</v>
      </c>
      <c r="B66" s="248">
        <v>42</v>
      </c>
      <c r="C66" t="s">
        <v>3089</v>
      </c>
      <c r="D66" t="s">
        <v>3053</v>
      </c>
      <c r="E66" s="249" t="s">
        <v>3043</v>
      </c>
      <c r="F66">
        <v>64</v>
      </c>
    </row>
    <row r="67" spans="1:6" x14ac:dyDescent="0.25">
      <c r="A67" t="s">
        <v>93</v>
      </c>
      <c r="B67" s="248">
        <v>30.5</v>
      </c>
      <c r="C67" t="s">
        <v>3090</v>
      </c>
      <c r="D67" t="s">
        <v>3053</v>
      </c>
      <c r="E67" s="249" t="s">
        <v>3043</v>
      </c>
      <c r="F67">
        <v>65</v>
      </c>
    </row>
    <row r="68" spans="1:6" x14ac:dyDescent="0.25">
      <c r="A68" t="s">
        <v>1275</v>
      </c>
      <c r="B68" s="248">
        <v>398</v>
      </c>
      <c r="C68" t="s">
        <v>3091</v>
      </c>
      <c r="D68" t="s">
        <v>3053</v>
      </c>
      <c r="E68" s="249" t="s">
        <v>3047</v>
      </c>
      <c r="F68">
        <v>66</v>
      </c>
    </row>
    <row r="69" spans="1:6" x14ac:dyDescent="0.25">
      <c r="A69" t="s">
        <v>1624</v>
      </c>
      <c r="B69" s="248">
        <v>511.5</v>
      </c>
      <c r="C69" t="s">
        <v>3092</v>
      </c>
      <c r="D69" t="s">
        <v>3053</v>
      </c>
      <c r="E69" s="249" t="s">
        <v>3048</v>
      </c>
      <c r="F69">
        <v>67</v>
      </c>
    </row>
    <row r="70" spans="1:6" x14ac:dyDescent="0.25">
      <c r="A70" t="s">
        <v>1792</v>
      </c>
      <c r="B70" s="248">
        <v>659.5</v>
      </c>
      <c r="C70" t="s">
        <v>3093</v>
      </c>
      <c r="D70" t="s">
        <v>3053</v>
      </c>
      <c r="E70" s="249" t="s">
        <v>3049</v>
      </c>
      <c r="F70">
        <v>68</v>
      </c>
    </row>
    <row r="71" spans="1:6" x14ac:dyDescent="0.25">
      <c r="A71" t="s">
        <v>184</v>
      </c>
      <c r="B71" s="248">
        <v>372</v>
      </c>
      <c r="C71" t="s">
        <v>3094</v>
      </c>
      <c r="D71" t="s">
        <v>3053</v>
      </c>
      <c r="E71" s="249" t="s">
        <v>3043</v>
      </c>
      <c r="F71">
        <v>69</v>
      </c>
    </row>
    <row r="72" spans="1:6" x14ac:dyDescent="0.25">
      <c r="A72" t="s">
        <v>2612</v>
      </c>
      <c r="B72" s="248">
        <v>250</v>
      </c>
      <c r="C72" t="s">
        <v>3095</v>
      </c>
      <c r="D72" t="s">
        <v>3056</v>
      </c>
      <c r="E72" s="249" t="s">
        <v>3028</v>
      </c>
      <c r="F72">
        <v>70</v>
      </c>
    </row>
    <row r="73" spans="1:6" x14ac:dyDescent="0.25">
      <c r="A73" t="s">
        <v>5774</v>
      </c>
      <c r="B73" s="248">
        <v>335.5</v>
      </c>
      <c r="C73" t="s">
        <v>5930</v>
      </c>
      <c r="D73" t="s">
        <v>3056</v>
      </c>
      <c r="E73" s="249" t="s">
        <v>3028</v>
      </c>
      <c r="F73">
        <v>71</v>
      </c>
    </row>
    <row r="74" spans="1:6" x14ac:dyDescent="0.25">
      <c r="A74" t="s">
        <v>662</v>
      </c>
      <c r="B74" s="248">
        <v>153.5</v>
      </c>
      <c r="C74" t="s">
        <v>3096</v>
      </c>
      <c r="D74" t="s">
        <v>3053</v>
      </c>
      <c r="E74" s="249" t="s">
        <v>3045</v>
      </c>
      <c r="F74">
        <v>72</v>
      </c>
    </row>
    <row r="75" spans="1:6" x14ac:dyDescent="0.25">
      <c r="A75" t="s">
        <v>1058</v>
      </c>
      <c r="B75" s="248">
        <v>349</v>
      </c>
      <c r="C75" t="s">
        <v>3097</v>
      </c>
      <c r="D75" t="s">
        <v>3053</v>
      </c>
      <c r="E75" s="249" t="s">
        <v>3046</v>
      </c>
      <c r="F75">
        <v>73</v>
      </c>
    </row>
    <row r="76" spans="1:6" x14ac:dyDescent="0.25">
      <c r="A76" t="s">
        <v>727</v>
      </c>
      <c r="B76" s="248">
        <v>153.5</v>
      </c>
      <c r="C76" t="s">
        <v>3098</v>
      </c>
      <c r="D76" t="s">
        <v>3053</v>
      </c>
      <c r="E76" s="249" t="s">
        <v>3045</v>
      </c>
      <c r="F76">
        <v>74</v>
      </c>
    </row>
    <row r="77" spans="1:6" x14ac:dyDescent="0.25">
      <c r="A77" t="s">
        <v>1097</v>
      </c>
      <c r="B77" s="248">
        <v>349</v>
      </c>
      <c r="C77" t="s">
        <v>3099</v>
      </c>
      <c r="D77" t="s">
        <v>3053</v>
      </c>
      <c r="E77" s="249" t="s">
        <v>3046</v>
      </c>
      <c r="F77">
        <v>75</v>
      </c>
    </row>
    <row r="78" spans="1:6" x14ac:dyDescent="0.25">
      <c r="A78" t="s">
        <v>371</v>
      </c>
      <c r="B78" s="248">
        <v>578.5</v>
      </c>
      <c r="C78" t="s">
        <v>3100</v>
      </c>
      <c r="D78" t="s">
        <v>3053</v>
      </c>
      <c r="E78" s="249" t="s">
        <v>3043</v>
      </c>
      <c r="F78">
        <v>76</v>
      </c>
    </row>
    <row r="79" spans="1:6" x14ac:dyDescent="0.25">
      <c r="A79" t="s">
        <v>1024</v>
      </c>
      <c r="B79" s="248">
        <v>2153</v>
      </c>
      <c r="C79" t="s">
        <v>3101</v>
      </c>
      <c r="D79" t="s">
        <v>3053</v>
      </c>
      <c r="E79" s="249" t="s">
        <v>3045</v>
      </c>
      <c r="F79">
        <v>77</v>
      </c>
    </row>
    <row r="80" spans="1:6" x14ac:dyDescent="0.25">
      <c r="A80" t="s">
        <v>1883</v>
      </c>
      <c r="B80" s="248">
        <v>3521</v>
      </c>
      <c r="C80" t="s">
        <v>3102</v>
      </c>
      <c r="D80" t="s">
        <v>3053</v>
      </c>
      <c r="E80" s="249" t="s">
        <v>3001</v>
      </c>
      <c r="F80">
        <v>78</v>
      </c>
    </row>
    <row r="81" spans="1:6" x14ac:dyDescent="0.25">
      <c r="A81" t="s">
        <v>1910</v>
      </c>
      <c r="B81" s="248">
        <v>6521</v>
      </c>
      <c r="C81" t="s">
        <v>3103</v>
      </c>
      <c r="D81" t="s">
        <v>3053</v>
      </c>
      <c r="E81" s="249" t="s">
        <v>3001</v>
      </c>
      <c r="F81">
        <v>79</v>
      </c>
    </row>
    <row r="82" spans="1:6" x14ac:dyDescent="0.25">
      <c r="A82" t="s">
        <v>756</v>
      </c>
      <c r="B82" s="248">
        <v>643.5</v>
      </c>
      <c r="C82" t="s">
        <v>3104</v>
      </c>
      <c r="D82" t="s">
        <v>3053</v>
      </c>
      <c r="E82" s="249" t="s">
        <v>3045</v>
      </c>
      <c r="F82">
        <v>80</v>
      </c>
    </row>
    <row r="83" spans="1:6" x14ac:dyDescent="0.25">
      <c r="A83" t="s">
        <v>5782</v>
      </c>
      <c r="B83" s="248">
        <v>1371</v>
      </c>
      <c r="C83" t="s">
        <v>5943</v>
      </c>
      <c r="D83" t="s">
        <v>3053</v>
      </c>
      <c r="E83" s="249" t="s">
        <v>3045</v>
      </c>
      <c r="F83">
        <v>81</v>
      </c>
    </row>
    <row r="84" spans="1:6" x14ac:dyDescent="0.25">
      <c r="A84" t="s">
        <v>1128</v>
      </c>
      <c r="B84" s="248">
        <v>1009</v>
      </c>
      <c r="C84" t="s">
        <v>3105</v>
      </c>
      <c r="D84" t="s">
        <v>3053</v>
      </c>
      <c r="E84" s="249" t="s">
        <v>3046</v>
      </c>
      <c r="F84">
        <v>82</v>
      </c>
    </row>
    <row r="85" spans="1:6" x14ac:dyDescent="0.25">
      <c r="A85" t="s">
        <v>5804</v>
      </c>
      <c r="B85" s="248">
        <v>1612</v>
      </c>
      <c r="C85" t="s">
        <v>5948</v>
      </c>
      <c r="D85" t="s">
        <v>3053</v>
      </c>
      <c r="E85" s="249" t="s">
        <v>3046</v>
      </c>
      <c r="F85">
        <v>83</v>
      </c>
    </row>
    <row r="86" spans="1:6" x14ac:dyDescent="0.25">
      <c r="A86" t="s">
        <v>767</v>
      </c>
      <c r="B86" s="248">
        <v>707</v>
      </c>
      <c r="C86" t="s">
        <v>3106</v>
      </c>
      <c r="D86" t="s">
        <v>3053</v>
      </c>
      <c r="E86" s="249" t="s">
        <v>3045</v>
      </c>
      <c r="F86">
        <v>84</v>
      </c>
    </row>
    <row r="87" spans="1:6" x14ac:dyDescent="0.25">
      <c r="A87" t="s">
        <v>5792</v>
      </c>
      <c r="B87" s="248">
        <v>1371</v>
      </c>
      <c r="C87" t="s">
        <v>5944</v>
      </c>
      <c r="D87" t="s">
        <v>3053</v>
      </c>
      <c r="E87" s="249" t="s">
        <v>3045</v>
      </c>
      <c r="F87">
        <v>85</v>
      </c>
    </row>
    <row r="88" spans="1:6" x14ac:dyDescent="0.25">
      <c r="A88" t="s">
        <v>1136</v>
      </c>
      <c r="B88" s="248">
        <v>936</v>
      </c>
      <c r="C88" t="s">
        <v>3107</v>
      </c>
      <c r="D88" t="s">
        <v>3053</v>
      </c>
      <c r="E88" s="249" t="s">
        <v>3046</v>
      </c>
      <c r="F88">
        <v>86</v>
      </c>
    </row>
    <row r="89" spans="1:6" x14ac:dyDescent="0.25">
      <c r="A89" t="s">
        <v>5814</v>
      </c>
      <c r="B89" s="248">
        <v>1612</v>
      </c>
      <c r="C89" t="s">
        <v>5949</v>
      </c>
      <c r="D89" t="s">
        <v>3053</v>
      </c>
      <c r="E89" s="249" t="s">
        <v>3046</v>
      </c>
      <c r="F89">
        <v>87</v>
      </c>
    </row>
    <row r="90" spans="1:6" x14ac:dyDescent="0.25">
      <c r="A90" t="s">
        <v>811</v>
      </c>
      <c r="B90" s="248">
        <v>1118</v>
      </c>
      <c r="C90" t="s">
        <v>3108</v>
      </c>
      <c r="D90" t="s">
        <v>3053</v>
      </c>
      <c r="E90" s="249" t="s">
        <v>3045</v>
      </c>
      <c r="F90">
        <v>88</v>
      </c>
    </row>
    <row r="91" spans="1:6" x14ac:dyDescent="0.25">
      <c r="A91" t="s">
        <v>818</v>
      </c>
      <c r="B91" s="248">
        <v>1118</v>
      </c>
      <c r="C91" t="s">
        <v>3109</v>
      </c>
      <c r="D91" t="s">
        <v>3053</v>
      </c>
      <c r="E91" s="249" t="s">
        <v>3045</v>
      </c>
      <c r="F91">
        <v>89</v>
      </c>
    </row>
    <row r="92" spans="1:6" x14ac:dyDescent="0.25">
      <c r="A92" t="s">
        <v>2632</v>
      </c>
      <c r="B92" s="248">
        <v>1525</v>
      </c>
      <c r="C92" t="s">
        <v>3110</v>
      </c>
      <c r="D92" t="s">
        <v>3056</v>
      </c>
      <c r="E92" s="249" t="s">
        <v>3028</v>
      </c>
      <c r="F92">
        <v>90</v>
      </c>
    </row>
    <row r="93" spans="1:6" x14ac:dyDescent="0.25">
      <c r="A93" t="s">
        <v>6216</v>
      </c>
      <c r="B93" s="248">
        <v>2524</v>
      </c>
      <c r="C93" t="s">
        <v>6219</v>
      </c>
      <c r="D93" t="s">
        <v>3056</v>
      </c>
      <c r="E93" s="249" t="s">
        <v>3028</v>
      </c>
      <c r="F93">
        <v>91</v>
      </c>
    </row>
    <row r="94" spans="1:6" x14ac:dyDescent="0.25">
      <c r="A94" t="s">
        <v>2735</v>
      </c>
      <c r="B94" s="248">
        <v>3022</v>
      </c>
      <c r="C94" t="s">
        <v>3111</v>
      </c>
      <c r="D94" t="s">
        <v>3056</v>
      </c>
      <c r="E94" s="249" t="s">
        <v>3028</v>
      </c>
      <c r="F94">
        <v>92</v>
      </c>
    </row>
    <row r="95" spans="1:6" x14ac:dyDescent="0.25">
      <c r="A95" t="s">
        <v>66</v>
      </c>
      <c r="B95" s="248">
        <v>54.75</v>
      </c>
      <c r="C95" t="s">
        <v>3112</v>
      </c>
      <c r="D95" t="s">
        <v>3053</v>
      </c>
      <c r="E95" s="249" t="s">
        <v>3043</v>
      </c>
      <c r="F95">
        <v>93</v>
      </c>
    </row>
    <row r="96" spans="1:6" x14ac:dyDescent="0.25">
      <c r="A96" t="s">
        <v>94</v>
      </c>
      <c r="B96" s="248">
        <v>39.75</v>
      </c>
      <c r="C96" t="s">
        <v>3113</v>
      </c>
      <c r="D96" t="s">
        <v>3053</v>
      </c>
      <c r="E96" s="249" t="s">
        <v>3043</v>
      </c>
      <c r="F96">
        <v>94</v>
      </c>
    </row>
    <row r="97" spans="1:6" x14ac:dyDescent="0.25">
      <c r="A97" t="s">
        <v>1278</v>
      </c>
      <c r="B97" s="248">
        <v>406</v>
      </c>
      <c r="C97" t="s">
        <v>3114</v>
      </c>
      <c r="D97" t="s">
        <v>3053</v>
      </c>
      <c r="E97" s="249" t="s">
        <v>3047</v>
      </c>
      <c r="F97">
        <v>95</v>
      </c>
    </row>
    <row r="98" spans="1:6" x14ac:dyDescent="0.25">
      <c r="A98" t="s">
        <v>1626</v>
      </c>
      <c r="B98" s="248">
        <v>685.5</v>
      </c>
      <c r="C98" t="s">
        <v>3115</v>
      </c>
      <c r="D98" t="s">
        <v>3053</v>
      </c>
      <c r="E98" s="249" t="s">
        <v>3048</v>
      </c>
      <c r="F98">
        <v>96</v>
      </c>
    </row>
    <row r="99" spans="1:6" x14ac:dyDescent="0.25">
      <c r="A99" t="s">
        <v>1368</v>
      </c>
      <c r="B99" s="248">
        <v>601.5</v>
      </c>
      <c r="C99" t="s">
        <v>3116</v>
      </c>
      <c r="D99" t="s">
        <v>3053</v>
      </c>
      <c r="E99" s="249" t="s">
        <v>3047</v>
      </c>
      <c r="F99">
        <v>97</v>
      </c>
    </row>
    <row r="100" spans="1:6" x14ac:dyDescent="0.25">
      <c r="A100" t="s">
        <v>1643</v>
      </c>
      <c r="B100" s="248">
        <v>1239</v>
      </c>
      <c r="C100" t="s">
        <v>3117</v>
      </c>
      <c r="D100" t="s">
        <v>3053</v>
      </c>
      <c r="E100" s="249" t="s">
        <v>3048</v>
      </c>
      <c r="F100">
        <v>98</v>
      </c>
    </row>
    <row r="101" spans="1:6" x14ac:dyDescent="0.25">
      <c r="A101" t="s">
        <v>1832</v>
      </c>
      <c r="B101" s="248">
        <v>1935</v>
      </c>
      <c r="C101" t="s">
        <v>3118</v>
      </c>
      <c r="D101" t="s">
        <v>3053</v>
      </c>
      <c r="E101" s="249" t="s">
        <v>3049</v>
      </c>
      <c r="F101">
        <v>99</v>
      </c>
    </row>
    <row r="102" spans="1:6" x14ac:dyDescent="0.25">
      <c r="A102" t="s">
        <v>1794</v>
      </c>
      <c r="B102" s="248">
        <v>865</v>
      </c>
      <c r="C102" t="s">
        <v>3119</v>
      </c>
      <c r="D102" t="s">
        <v>3053</v>
      </c>
      <c r="E102" s="249" t="s">
        <v>3049</v>
      </c>
      <c r="F102">
        <v>100</v>
      </c>
    </row>
    <row r="103" spans="1:6" x14ac:dyDescent="0.25">
      <c r="A103" t="s">
        <v>187</v>
      </c>
      <c r="B103" s="248">
        <v>532</v>
      </c>
      <c r="C103" t="s">
        <v>3120</v>
      </c>
      <c r="D103" t="s">
        <v>3053</v>
      </c>
      <c r="E103" s="249" t="s">
        <v>3043</v>
      </c>
      <c r="F103">
        <v>101</v>
      </c>
    </row>
    <row r="104" spans="1:6" x14ac:dyDescent="0.25">
      <c r="A104" t="s">
        <v>2613</v>
      </c>
      <c r="B104" s="248">
        <v>260</v>
      </c>
      <c r="C104" t="s">
        <v>3121</v>
      </c>
      <c r="D104" t="s">
        <v>3056</v>
      </c>
      <c r="E104" s="249" t="s">
        <v>3028</v>
      </c>
      <c r="F104">
        <v>102</v>
      </c>
    </row>
    <row r="105" spans="1:6" x14ac:dyDescent="0.25">
      <c r="A105" t="s">
        <v>5775</v>
      </c>
      <c r="B105" s="248">
        <v>369</v>
      </c>
      <c r="C105" t="s">
        <v>5933</v>
      </c>
      <c r="D105" t="s">
        <v>3056</v>
      </c>
      <c r="E105" s="249" t="s">
        <v>3028</v>
      </c>
      <c r="F105">
        <v>103</v>
      </c>
    </row>
    <row r="106" spans="1:6" x14ac:dyDescent="0.25">
      <c r="A106" t="s">
        <v>665</v>
      </c>
      <c r="B106" s="248">
        <v>201.5</v>
      </c>
      <c r="C106" t="s">
        <v>3122</v>
      </c>
      <c r="D106" t="s">
        <v>3053</v>
      </c>
      <c r="E106" s="249" t="s">
        <v>3045</v>
      </c>
      <c r="F106">
        <v>104</v>
      </c>
    </row>
    <row r="107" spans="1:6" x14ac:dyDescent="0.25">
      <c r="A107" t="s">
        <v>1061</v>
      </c>
      <c r="B107" s="248">
        <v>515.5</v>
      </c>
      <c r="C107" t="s">
        <v>3123</v>
      </c>
      <c r="D107" t="s">
        <v>3053</v>
      </c>
      <c r="E107" s="249" t="s">
        <v>3046</v>
      </c>
      <c r="F107">
        <v>105</v>
      </c>
    </row>
    <row r="108" spans="1:6" x14ac:dyDescent="0.25">
      <c r="A108" t="s">
        <v>730</v>
      </c>
      <c r="B108" s="248">
        <v>201.5</v>
      </c>
      <c r="C108" t="s">
        <v>3124</v>
      </c>
      <c r="D108" t="s">
        <v>3053</v>
      </c>
      <c r="E108" s="249" t="s">
        <v>3045</v>
      </c>
      <c r="F108">
        <v>106</v>
      </c>
    </row>
    <row r="109" spans="1:6" x14ac:dyDescent="0.25">
      <c r="A109" t="s">
        <v>1100</v>
      </c>
      <c r="B109" s="248">
        <v>515.5</v>
      </c>
      <c r="C109" t="s">
        <v>3125</v>
      </c>
      <c r="D109" t="s">
        <v>3053</v>
      </c>
      <c r="E109" s="249" t="s">
        <v>3046</v>
      </c>
      <c r="F109">
        <v>107</v>
      </c>
    </row>
    <row r="110" spans="1:6" x14ac:dyDescent="0.25">
      <c r="A110" t="s">
        <v>372</v>
      </c>
      <c r="B110" s="248">
        <v>578.5</v>
      </c>
      <c r="C110" t="s">
        <v>3126</v>
      </c>
      <c r="D110" t="s">
        <v>3053</v>
      </c>
      <c r="E110" s="249" t="s">
        <v>3043</v>
      </c>
      <c r="F110">
        <v>108</v>
      </c>
    </row>
    <row r="111" spans="1:6" x14ac:dyDescent="0.25">
      <c r="A111" t="s">
        <v>1026</v>
      </c>
      <c r="B111" s="248">
        <v>2153</v>
      </c>
      <c r="C111" t="s">
        <v>3127</v>
      </c>
      <c r="D111" t="s">
        <v>3053</v>
      </c>
      <c r="E111" s="249" t="s">
        <v>3045</v>
      </c>
      <c r="F111">
        <v>109</v>
      </c>
    </row>
    <row r="112" spans="1:6" x14ac:dyDescent="0.25">
      <c r="A112" t="s">
        <v>5916</v>
      </c>
      <c r="B112" s="248">
        <v>4742</v>
      </c>
      <c r="C112" t="s">
        <v>5975</v>
      </c>
      <c r="D112" t="s">
        <v>3053</v>
      </c>
      <c r="E112" s="249" t="s">
        <v>3046</v>
      </c>
      <c r="F112">
        <v>110</v>
      </c>
    </row>
    <row r="113" spans="1:6" x14ac:dyDescent="0.25">
      <c r="A113" t="s">
        <v>1891</v>
      </c>
      <c r="B113" s="248">
        <v>4192</v>
      </c>
      <c r="C113" t="s">
        <v>3128</v>
      </c>
      <c r="D113" t="s">
        <v>3053</v>
      </c>
      <c r="E113" s="249" t="s">
        <v>3001</v>
      </c>
      <c r="F113">
        <v>111</v>
      </c>
    </row>
    <row r="114" spans="1:6" x14ac:dyDescent="0.25">
      <c r="A114" t="s">
        <v>1884</v>
      </c>
      <c r="B114" s="248">
        <v>3521</v>
      </c>
      <c r="C114" t="s">
        <v>3129</v>
      </c>
      <c r="D114" t="s">
        <v>3053</v>
      </c>
      <c r="E114" s="249" t="s">
        <v>3001</v>
      </c>
      <c r="F114">
        <v>112</v>
      </c>
    </row>
    <row r="115" spans="1:6" x14ac:dyDescent="0.25">
      <c r="A115" t="s">
        <v>1917</v>
      </c>
      <c r="B115" s="248">
        <v>6230</v>
      </c>
      <c r="C115" t="s">
        <v>3130</v>
      </c>
      <c r="D115" t="s">
        <v>3053</v>
      </c>
      <c r="E115" s="249" t="s">
        <v>3001</v>
      </c>
      <c r="F115">
        <v>113</v>
      </c>
    </row>
    <row r="116" spans="1:6" x14ac:dyDescent="0.25">
      <c r="A116" t="s">
        <v>1921</v>
      </c>
      <c r="B116" s="248">
        <v>10432</v>
      </c>
      <c r="C116" t="s">
        <v>3131</v>
      </c>
      <c r="D116" t="s">
        <v>3053</v>
      </c>
      <c r="E116" s="249" t="s">
        <v>3001</v>
      </c>
      <c r="F116">
        <v>114</v>
      </c>
    </row>
    <row r="117" spans="1:6" x14ac:dyDescent="0.25">
      <c r="A117" t="s">
        <v>1902</v>
      </c>
      <c r="B117" s="248">
        <v>4608</v>
      </c>
      <c r="C117" t="s">
        <v>3132</v>
      </c>
      <c r="D117" t="s">
        <v>3053</v>
      </c>
      <c r="E117" s="249" t="s">
        <v>3001</v>
      </c>
      <c r="F117">
        <v>115</v>
      </c>
    </row>
    <row r="118" spans="1:6" x14ac:dyDescent="0.25">
      <c r="A118" t="s">
        <v>1911</v>
      </c>
      <c r="B118" s="248">
        <v>6521</v>
      </c>
      <c r="C118" t="s">
        <v>3133</v>
      </c>
      <c r="D118" t="s">
        <v>3053</v>
      </c>
      <c r="E118" s="249" t="s">
        <v>3001</v>
      </c>
      <c r="F118">
        <v>116</v>
      </c>
    </row>
    <row r="119" spans="1:6" x14ac:dyDescent="0.25">
      <c r="A119" t="s">
        <v>1941</v>
      </c>
      <c r="B119" s="248">
        <v>12042</v>
      </c>
      <c r="C119" t="s">
        <v>3134</v>
      </c>
      <c r="D119" t="s">
        <v>3053</v>
      </c>
      <c r="E119" s="249" t="s">
        <v>3001</v>
      </c>
      <c r="F119">
        <v>117</v>
      </c>
    </row>
    <row r="120" spans="1:6" x14ac:dyDescent="0.25">
      <c r="A120" t="s">
        <v>1944</v>
      </c>
      <c r="B120" s="248">
        <v>12060</v>
      </c>
      <c r="C120" t="s">
        <v>3135</v>
      </c>
      <c r="D120" t="s">
        <v>3053</v>
      </c>
      <c r="E120" s="249" t="s">
        <v>3001</v>
      </c>
      <c r="F120">
        <v>118</v>
      </c>
    </row>
    <row r="121" spans="1:6" x14ac:dyDescent="0.25">
      <c r="A121" t="s">
        <v>1935</v>
      </c>
      <c r="B121" s="248">
        <v>6424</v>
      </c>
      <c r="C121" t="s">
        <v>3136</v>
      </c>
      <c r="D121" t="s">
        <v>3053</v>
      </c>
      <c r="E121" s="249" t="s">
        <v>3001</v>
      </c>
      <c r="F121">
        <v>119</v>
      </c>
    </row>
    <row r="122" spans="1:6" x14ac:dyDescent="0.25">
      <c r="A122" t="s">
        <v>757</v>
      </c>
      <c r="B122" s="248">
        <v>752</v>
      </c>
      <c r="C122" t="s">
        <v>3137</v>
      </c>
      <c r="D122" t="s">
        <v>3053</v>
      </c>
      <c r="E122" s="249" t="s">
        <v>3045</v>
      </c>
      <c r="F122">
        <v>120</v>
      </c>
    </row>
    <row r="123" spans="1:6" x14ac:dyDescent="0.25">
      <c r="A123" t="s">
        <v>5783</v>
      </c>
      <c r="B123" s="248">
        <v>1686</v>
      </c>
      <c r="C123" t="s">
        <v>5950</v>
      </c>
      <c r="D123" t="s">
        <v>3053</v>
      </c>
      <c r="E123" s="249" t="s">
        <v>3045</v>
      </c>
      <c r="F123">
        <v>121</v>
      </c>
    </row>
    <row r="124" spans="1:6" x14ac:dyDescent="0.25">
      <c r="A124" t="s">
        <v>1129</v>
      </c>
      <c r="B124" s="248">
        <v>1285</v>
      </c>
      <c r="C124" t="s">
        <v>3138</v>
      </c>
      <c r="D124" t="s">
        <v>3053</v>
      </c>
      <c r="E124" s="249" t="s">
        <v>3046</v>
      </c>
      <c r="F124">
        <v>122</v>
      </c>
    </row>
    <row r="125" spans="1:6" x14ac:dyDescent="0.25">
      <c r="A125" t="s">
        <v>5805</v>
      </c>
      <c r="B125" s="248">
        <v>1830</v>
      </c>
      <c r="C125" t="s">
        <v>5953</v>
      </c>
      <c r="D125" t="s">
        <v>3053</v>
      </c>
      <c r="E125" s="249" t="s">
        <v>3046</v>
      </c>
      <c r="F125">
        <v>123</v>
      </c>
    </row>
    <row r="126" spans="1:6" x14ac:dyDescent="0.25">
      <c r="A126" t="s">
        <v>768</v>
      </c>
      <c r="B126" s="248">
        <v>825</v>
      </c>
      <c r="C126" t="s">
        <v>3139</v>
      </c>
      <c r="D126" t="s">
        <v>3053</v>
      </c>
      <c r="E126" s="249" t="s">
        <v>3045</v>
      </c>
      <c r="F126">
        <v>124</v>
      </c>
    </row>
    <row r="127" spans="1:6" x14ac:dyDescent="0.25">
      <c r="A127" t="s">
        <v>5793</v>
      </c>
      <c r="B127" s="248">
        <v>1558</v>
      </c>
      <c r="C127" t="s">
        <v>5947</v>
      </c>
      <c r="D127" t="s">
        <v>3053</v>
      </c>
      <c r="E127" s="249" t="s">
        <v>3045</v>
      </c>
      <c r="F127">
        <v>125</v>
      </c>
    </row>
    <row r="128" spans="1:6" x14ac:dyDescent="0.25">
      <c r="A128" t="s">
        <v>1137</v>
      </c>
      <c r="B128" s="248">
        <v>1191</v>
      </c>
      <c r="C128" t="s">
        <v>3140</v>
      </c>
      <c r="D128" t="s">
        <v>3053</v>
      </c>
      <c r="E128" s="249" t="s">
        <v>3046</v>
      </c>
      <c r="F128">
        <v>126</v>
      </c>
    </row>
    <row r="129" spans="1:6" x14ac:dyDescent="0.25">
      <c r="A129" t="s">
        <v>5815</v>
      </c>
      <c r="B129" s="248">
        <v>1830</v>
      </c>
      <c r="C129" t="s">
        <v>5954</v>
      </c>
      <c r="D129" t="s">
        <v>3053</v>
      </c>
      <c r="E129" s="249" t="s">
        <v>3046</v>
      </c>
      <c r="F129">
        <v>127</v>
      </c>
    </row>
    <row r="130" spans="1:6" x14ac:dyDescent="0.25">
      <c r="A130" t="s">
        <v>812</v>
      </c>
      <c r="B130" s="248">
        <v>1448</v>
      </c>
      <c r="C130" t="s">
        <v>3141</v>
      </c>
      <c r="D130" t="s">
        <v>3053</v>
      </c>
      <c r="E130" s="249" t="s">
        <v>3045</v>
      </c>
      <c r="F130">
        <v>128</v>
      </c>
    </row>
    <row r="131" spans="1:6" x14ac:dyDescent="0.25">
      <c r="A131" t="s">
        <v>819</v>
      </c>
      <c r="B131" s="248">
        <v>1448</v>
      </c>
      <c r="C131" t="s">
        <v>3142</v>
      </c>
      <c r="D131" t="s">
        <v>3053</v>
      </c>
      <c r="E131" s="249" t="s">
        <v>3045</v>
      </c>
      <c r="F131">
        <v>129</v>
      </c>
    </row>
    <row r="132" spans="1:6" x14ac:dyDescent="0.25">
      <c r="A132" t="s">
        <v>2724</v>
      </c>
      <c r="B132" s="248">
        <v>2100</v>
      </c>
      <c r="C132" t="s">
        <v>3143</v>
      </c>
      <c r="D132" t="s">
        <v>3056</v>
      </c>
      <c r="E132" s="249" t="s">
        <v>3028</v>
      </c>
      <c r="F132">
        <v>130</v>
      </c>
    </row>
    <row r="133" spans="1:6" x14ac:dyDescent="0.25">
      <c r="A133" t="s">
        <v>69</v>
      </c>
      <c r="B133" s="248">
        <v>76.75</v>
      </c>
      <c r="C133" t="s">
        <v>3144</v>
      </c>
      <c r="D133" t="s">
        <v>3053</v>
      </c>
      <c r="E133" s="249" t="s">
        <v>3043</v>
      </c>
      <c r="F133">
        <v>131</v>
      </c>
    </row>
    <row r="134" spans="1:6" x14ac:dyDescent="0.25">
      <c r="A134" t="s">
        <v>95</v>
      </c>
      <c r="B134" s="248">
        <v>55</v>
      </c>
      <c r="C134" t="s">
        <v>3145</v>
      </c>
      <c r="D134" t="s">
        <v>3053</v>
      </c>
      <c r="E134" s="249" t="s">
        <v>3043</v>
      </c>
      <c r="F134">
        <v>132</v>
      </c>
    </row>
    <row r="135" spans="1:6" x14ac:dyDescent="0.25">
      <c r="A135" t="s">
        <v>1280</v>
      </c>
      <c r="B135" s="248">
        <v>530</v>
      </c>
      <c r="C135" t="s">
        <v>3146</v>
      </c>
      <c r="D135" t="s">
        <v>3053</v>
      </c>
      <c r="E135" s="249" t="s">
        <v>3047</v>
      </c>
      <c r="F135">
        <v>133</v>
      </c>
    </row>
    <row r="136" spans="1:6" x14ac:dyDescent="0.25">
      <c r="A136" t="s">
        <v>1371</v>
      </c>
      <c r="B136" s="248">
        <v>750.5</v>
      </c>
      <c r="C136" t="s">
        <v>3147</v>
      </c>
      <c r="D136" t="s">
        <v>3053</v>
      </c>
      <c r="E136" s="249" t="s">
        <v>3047</v>
      </c>
      <c r="F136">
        <v>134</v>
      </c>
    </row>
    <row r="137" spans="1:6" x14ac:dyDescent="0.25">
      <c r="A137" t="s">
        <v>1630</v>
      </c>
      <c r="B137" s="248">
        <v>1020</v>
      </c>
      <c r="C137" t="s">
        <v>3148</v>
      </c>
      <c r="D137" t="s">
        <v>3053</v>
      </c>
      <c r="E137" s="249" t="s">
        <v>3048</v>
      </c>
      <c r="F137">
        <v>135</v>
      </c>
    </row>
    <row r="138" spans="1:6" x14ac:dyDescent="0.25">
      <c r="A138" t="s">
        <v>1797</v>
      </c>
      <c r="B138" s="248">
        <v>1347</v>
      </c>
      <c r="C138" t="s">
        <v>3149</v>
      </c>
      <c r="D138" t="s">
        <v>3053</v>
      </c>
      <c r="E138" s="249" t="s">
        <v>3049</v>
      </c>
      <c r="F138">
        <v>136</v>
      </c>
    </row>
    <row r="139" spans="1:6" x14ac:dyDescent="0.25">
      <c r="A139" t="s">
        <v>190</v>
      </c>
      <c r="B139" s="248">
        <v>629.5</v>
      </c>
      <c r="C139" t="s">
        <v>3150</v>
      </c>
      <c r="D139" t="s">
        <v>3053</v>
      </c>
      <c r="E139" s="249" t="s">
        <v>3043</v>
      </c>
      <c r="F139">
        <v>137</v>
      </c>
    </row>
    <row r="140" spans="1:6" x14ac:dyDescent="0.25">
      <c r="A140" t="s">
        <v>2614</v>
      </c>
      <c r="B140" s="248">
        <v>342.5</v>
      </c>
      <c r="C140" t="s">
        <v>3151</v>
      </c>
      <c r="D140" t="s">
        <v>3056</v>
      </c>
      <c r="E140" s="249" t="s">
        <v>3028</v>
      </c>
      <c r="F140">
        <v>138</v>
      </c>
    </row>
    <row r="141" spans="1:6" x14ac:dyDescent="0.25">
      <c r="A141" t="s">
        <v>5776</v>
      </c>
      <c r="B141" s="248">
        <v>460</v>
      </c>
      <c r="C141" t="s">
        <v>5935</v>
      </c>
      <c r="D141" t="s">
        <v>3056</v>
      </c>
      <c r="E141" s="249" t="s">
        <v>3028</v>
      </c>
      <c r="F141">
        <v>139</v>
      </c>
    </row>
    <row r="142" spans="1:6" x14ac:dyDescent="0.25">
      <c r="A142" t="s">
        <v>668</v>
      </c>
      <c r="B142" s="248">
        <v>272.5</v>
      </c>
      <c r="C142" t="s">
        <v>3152</v>
      </c>
      <c r="D142" t="s">
        <v>3053</v>
      </c>
      <c r="E142" s="249" t="s">
        <v>3045</v>
      </c>
      <c r="F142">
        <v>140</v>
      </c>
    </row>
    <row r="143" spans="1:6" x14ac:dyDescent="0.25">
      <c r="A143" t="s">
        <v>1064</v>
      </c>
      <c r="B143" s="248">
        <v>622.5</v>
      </c>
      <c r="C143" t="s">
        <v>3153</v>
      </c>
      <c r="D143" t="s">
        <v>3053</v>
      </c>
      <c r="E143" s="249" t="s">
        <v>3046</v>
      </c>
      <c r="F143">
        <v>141</v>
      </c>
    </row>
    <row r="144" spans="1:6" x14ac:dyDescent="0.25">
      <c r="A144" t="s">
        <v>733</v>
      </c>
      <c r="B144" s="248">
        <v>272.5</v>
      </c>
      <c r="C144" t="s">
        <v>3154</v>
      </c>
      <c r="D144" t="s">
        <v>3053</v>
      </c>
      <c r="E144" s="249" t="s">
        <v>3045</v>
      </c>
      <c r="F144">
        <v>142</v>
      </c>
    </row>
    <row r="145" spans="1:6" x14ac:dyDescent="0.25">
      <c r="A145" t="s">
        <v>1103</v>
      </c>
      <c r="B145" s="248">
        <v>622.5</v>
      </c>
      <c r="C145" t="s">
        <v>3155</v>
      </c>
      <c r="D145" t="s">
        <v>3053</v>
      </c>
      <c r="E145" s="249" t="s">
        <v>3046</v>
      </c>
      <c r="F145">
        <v>143</v>
      </c>
    </row>
    <row r="146" spans="1:6" x14ac:dyDescent="0.25">
      <c r="A146" t="s">
        <v>224</v>
      </c>
      <c r="B146" s="248">
        <v>466.5</v>
      </c>
      <c r="C146" t="s">
        <v>3156</v>
      </c>
      <c r="D146" t="s">
        <v>3053</v>
      </c>
      <c r="E146" s="249" t="s">
        <v>3043</v>
      </c>
      <c r="F146">
        <v>144</v>
      </c>
    </row>
    <row r="147" spans="1:6" x14ac:dyDescent="0.25">
      <c r="A147" t="s">
        <v>1029</v>
      </c>
      <c r="B147" s="248">
        <v>2877</v>
      </c>
      <c r="C147" t="s">
        <v>3157</v>
      </c>
      <c r="D147" t="s">
        <v>3053</v>
      </c>
      <c r="E147" s="249" t="s">
        <v>3045</v>
      </c>
      <c r="F147">
        <v>145</v>
      </c>
    </row>
    <row r="148" spans="1:6" x14ac:dyDescent="0.25">
      <c r="A148" t="s">
        <v>1892</v>
      </c>
      <c r="B148" s="248">
        <v>4752</v>
      </c>
      <c r="C148" t="s">
        <v>3158</v>
      </c>
      <c r="D148" t="s">
        <v>3053</v>
      </c>
      <c r="E148" s="249" t="s">
        <v>3001</v>
      </c>
      <c r="F148">
        <v>146</v>
      </c>
    </row>
    <row r="149" spans="1:6" x14ac:dyDescent="0.25">
      <c r="A149" t="s">
        <v>1885</v>
      </c>
      <c r="B149" s="248">
        <v>3921</v>
      </c>
      <c r="C149" t="s">
        <v>3159</v>
      </c>
      <c r="D149" t="s">
        <v>3053</v>
      </c>
      <c r="E149" s="249" t="s">
        <v>3001</v>
      </c>
      <c r="F149">
        <v>147</v>
      </c>
    </row>
    <row r="150" spans="1:6" x14ac:dyDescent="0.25">
      <c r="A150" t="s">
        <v>1903</v>
      </c>
      <c r="B150" s="248">
        <v>7440</v>
      </c>
      <c r="C150" t="s">
        <v>3160</v>
      </c>
      <c r="D150" t="s">
        <v>3053</v>
      </c>
      <c r="E150" s="249" t="s">
        <v>3001</v>
      </c>
      <c r="F150">
        <v>148</v>
      </c>
    </row>
    <row r="151" spans="1:6" x14ac:dyDescent="0.25">
      <c r="A151" t="s">
        <v>1912</v>
      </c>
      <c r="B151" s="248">
        <v>9778</v>
      </c>
      <c r="C151" t="s">
        <v>3161</v>
      </c>
      <c r="D151" t="s">
        <v>3053</v>
      </c>
      <c r="E151" s="249" t="s">
        <v>3001</v>
      </c>
      <c r="F151">
        <v>149</v>
      </c>
    </row>
    <row r="152" spans="1:6" x14ac:dyDescent="0.25">
      <c r="A152" t="s">
        <v>758</v>
      </c>
      <c r="B152" s="248">
        <v>953.5</v>
      </c>
      <c r="C152" t="s">
        <v>3162</v>
      </c>
      <c r="D152" t="s">
        <v>3053</v>
      </c>
      <c r="E152" s="249" t="s">
        <v>3045</v>
      </c>
      <c r="F152">
        <v>150</v>
      </c>
    </row>
    <row r="153" spans="1:6" x14ac:dyDescent="0.25">
      <c r="A153" t="s">
        <v>5784</v>
      </c>
      <c r="B153" s="248">
        <v>2270</v>
      </c>
      <c r="C153" t="s">
        <v>5956</v>
      </c>
      <c r="D153" t="s">
        <v>3053</v>
      </c>
      <c r="E153" s="249" t="s">
        <v>3045</v>
      </c>
      <c r="F153">
        <v>151</v>
      </c>
    </row>
    <row r="154" spans="1:6" x14ac:dyDescent="0.25">
      <c r="A154" t="s">
        <v>1130</v>
      </c>
      <c r="B154" s="248">
        <v>1560</v>
      </c>
      <c r="C154" t="s">
        <v>3163</v>
      </c>
      <c r="D154" t="s">
        <v>3053</v>
      </c>
      <c r="E154" s="249" t="s">
        <v>3046</v>
      </c>
      <c r="F154">
        <v>152</v>
      </c>
    </row>
    <row r="155" spans="1:6" x14ac:dyDescent="0.25">
      <c r="A155" t="s">
        <v>5806</v>
      </c>
      <c r="B155" s="248">
        <v>3018</v>
      </c>
      <c r="C155" t="s">
        <v>5964</v>
      </c>
      <c r="D155" t="s">
        <v>3053</v>
      </c>
      <c r="E155" s="249" t="s">
        <v>3046</v>
      </c>
      <c r="F155">
        <v>153</v>
      </c>
    </row>
    <row r="156" spans="1:6" x14ac:dyDescent="0.25">
      <c r="A156" t="s">
        <v>769</v>
      </c>
      <c r="B156" s="248">
        <v>1045</v>
      </c>
      <c r="C156" t="s">
        <v>3164</v>
      </c>
      <c r="D156" t="s">
        <v>3053</v>
      </c>
      <c r="E156" s="249" t="s">
        <v>3045</v>
      </c>
      <c r="F156">
        <v>154</v>
      </c>
    </row>
    <row r="157" spans="1:6" x14ac:dyDescent="0.25">
      <c r="A157" t="s">
        <v>5794</v>
      </c>
      <c r="B157" s="248">
        <v>2487</v>
      </c>
      <c r="C157" t="s">
        <v>5959</v>
      </c>
      <c r="D157" t="s">
        <v>3053</v>
      </c>
      <c r="E157" s="249" t="s">
        <v>3045</v>
      </c>
      <c r="F157">
        <v>155</v>
      </c>
    </row>
    <row r="158" spans="1:6" x14ac:dyDescent="0.25">
      <c r="A158" t="s">
        <v>813</v>
      </c>
      <c r="B158" s="248">
        <v>3246</v>
      </c>
      <c r="C158" t="s">
        <v>3165</v>
      </c>
      <c r="D158" t="s">
        <v>3053</v>
      </c>
      <c r="E158" s="249" t="s">
        <v>3045</v>
      </c>
      <c r="F158">
        <v>156</v>
      </c>
    </row>
    <row r="159" spans="1:6" x14ac:dyDescent="0.25">
      <c r="A159" t="s">
        <v>2622</v>
      </c>
      <c r="B159" s="248">
        <v>601.5</v>
      </c>
      <c r="C159" t="s">
        <v>3166</v>
      </c>
      <c r="D159" t="s">
        <v>3056</v>
      </c>
      <c r="E159" s="249" t="s">
        <v>3028</v>
      </c>
      <c r="F159">
        <v>157</v>
      </c>
    </row>
    <row r="160" spans="1:6" x14ac:dyDescent="0.25">
      <c r="A160" t="s">
        <v>2633</v>
      </c>
      <c r="B160" s="248">
        <v>1670</v>
      </c>
      <c r="C160" t="s">
        <v>3167</v>
      </c>
      <c r="D160" t="s">
        <v>3056</v>
      </c>
      <c r="E160" s="249" t="s">
        <v>3028</v>
      </c>
      <c r="F160">
        <v>158</v>
      </c>
    </row>
    <row r="161" spans="1:6" x14ac:dyDescent="0.25">
      <c r="A161" t="s">
        <v>2643</v>
      </c>
      <c r="B161" s="248">
        <v>2241</v>
      </c>
      <c r="C161" t="s">
        <v>3168</v>
      </c>
      <c r="D161" t="s">
        <v>3056</v>
      </c>
      <c r="E161" s="249" t="s">
        <v>3028</v>
      </c>
      <c r="F161">
        <v>159</v>
      </c>
    </row>
    <row r="162" spans="1:6" x14ac:dyDescent="0.25">
      <c r="A162" t="s">
        <v>2725</v>
      </c>
      <c r="B162" s="248">
        <v>2117</v>
      </c>
      <c r="C162" t="s">
        <v>3169</v>
      </c>
      <c r="D162" t="s">
        <v>3056</v>
      </c>
      <c r="E162" s="249" t="s">
        <v>3028</v>
      </c>
      <c r="F162">
        <v>160</v>
      </c>
    </row>
    <row r="163" spans="1:6" x14ac:dyDescent="0.25">
      <c r="A163" t="s">
        <v>2736</v>
      </c>
      <c r="B163" s="248">
        <v>3386</v>
      </c>
      <c r="C163" t="s">
        <v>3170</v>
      </c>
      <c r="D163" t="s">
        <v>3056</v>
      </c>
      <c r="E163" s="249" t="s">
        <v>3028</v>
      </c>
      <c r="F163">
        <v>161</v>
      </c>
    </row>
    <row r="164" spans="1:6" x14ac:dyDescent="0.25">
      <c r="A164" t="s">
        <v>72</v>
      </c>
      <c r="B164" s="248">
        <v>104</v>
      </c>
      <c r="C164" t="s">
        <v>3171</v>
      </c>
      <c r="D164" t="s">
        <v>3053</v>
      </c>
      <c r="E164" s="249" t="s">
        <v>3043</v>
      </c>
      <c r="F164">
        <v>162</v>
      </c>
    </row>
    <row r="165" spans="1:6" x14ac:dyDescent="0.25">
      <c r="A165" t="s">
        <v>96</v>
      </c>
      <c r="B165" s="248">
        <v>74.75</v>
      </c>
      <c r="C165" t="s">
        <v>3172</v>
      </c>
      <c r="D165" t="s">
        <v>3053</v>
      </c>
      <c r="E165" s="249" t="s">
        <v>3043</v>
      </c>
      <c r="F165">
        <v>163</v>
      </c>
    </row>
    <row r="166" spans="1:6" x14ac:dyDescent="0.25">
      <c r="A166" t="s">
        <v>1283</v>
      </c>
      <c r="B166" s="248">
        <v>583</v>
      </c>
      <c r="C166" t="s">
        <v>3173</v>
      </c>
      <c r="D166" t="s">
        <v>3053</v>
      </c>
      <c r="E166" s="249" t="s">
        <v>3047</v>
      </c>
      <c r="F166">
        <v>164</v>
      </c>
    </row>
    <row r="167" spans="1:6" x14ac:dyDescent="0.25">
      <c r="A167" t="s">
        <v>1633</v>
      </c>
      <c r="B167" s="248">
        <v>1020</v>
      </c>
      <c r="C167" t="s">
        <v>3174</v>
      </c>
      <c r="D167" t="s">
        <v>3053</v>
      </c>
      <c r="E167" s="249" t="s">
        <v>3048</v>
      </c>
      <c r="F167">
        <v>165</v>
      </c>
    </row>
    <row r="168" spans="1:6" x14ac:dyDescent="0.25">
      <c r="A168" t="s">
        <v>1372</v>
      </c>
      <c r="B168" s="248">
        <v>899</v>
      </c>
      <c r="C168" t="s">
        <v>3175</v>
      </c>
      <c r="D168" t="s">
        <v>3053</v>
      </c>
      <c r="E168" s="249" t="s">
        <v>3047</v>
      </c>
      <c r="F168">
        <v>166</v>
      </c>
    </row>
    <row r="169" spans="1:6" x14ac:dyDescent="0.25">
      <c r="A169" t="s">
        <v>1647</v>
      </c>
      <c r="B169" s="248">
        <v>2109</v>
      </c>
      <c r="C169" t="s">
        <v>3176</v>
      </c>
      <c r="D169" t="s">
        <v>3053</v>
      </c>
      <c r="E169" s="249" t="s">
        <v>3048</v>
      </c>
      <c r="F169">
        <v>167</v>
      </c>
    </row>
    <row r="170" spans="1:6" x14ac:dyDescent="0.25">
      <c r="A170" t="s">
        <v>1835</v>
      </c>
      <c r="B170" s="248">
        <v>3264</v>
      </c>
      <c r="C170" t="s">
        <v>3177</v>
      </c>
      <c r="D170" t="s">
        <v>3053</v>
      </c>
      <c r="E170" s="249" t="s">
        <v>3049</v>
      </c>
      <c r="F170">
        <v>168</v>
      </c>
    </row>
    <row r="171" spans="1:6" x14ac:dyDescent="0.25">
      <c r="A171" t="s">
        <v>1801</v>
      </c>
      <c r="B171" s="248">
        <v>1347</v>
      </c>
      <c r="C171" t="s">
        <v>3178</v>
      </c>
      <c r="D171" t="s">
        <v>3053</v>
      </c>
      <c r="E171" s="249" t="s">
        <v>3049</v>
      </c>
      <c r="F171">
        <v>169</v>
      </c>
    </row>
    <row r="172" spans="1:6" x14ac:dyDescent="0.25">
      <c r="A172" t="s">
        <v>1696</v>
      </c>
      <c r="B172" s="248">
        <v>1546</v>
      </c>
      <c r="C172" t="s">
        <v>3179</v>
      </c>
      <c r="D172" t="s">
        <v>3053</v>
      </c>
      <c r="E172" s="249" t="s">
        <v>3048</v>
      </c>
      <c r="F172">
        <v>170</v>
      </c>
    </row>
    <row r="173" spans="1:6" x14ac:dyDescent="0.25">
      <c r="A173" t="s">
        <v>1862</v>
      </c>
      <c r="B173" s="248">
        <v>2765</v>
      </c>
      <c r="C173" t="s">
        <v>3180</v>
      </c>
      <c r="D173" t="s">
        <v>3053</v>
      </c>
      <c r="E173" s="249" t="s">
        <v>3049</v>
      </c>
      <c r="F173">
        <v>171</v>
      </c>
    </row>
    <row r="174" spans="1:6" x14ac:dyDescent="0.25">
      <c r="A174" t="s">
        <v>1770</v>
      </c>
      <c r="B174" s="248">
        <v>2660</v>
      </c>
      <c r="C174" t="s">
        <v>3181</v>
      </c>
      <c r="D174" t="s">
        <v>3053</v>
      </c>
      <c r="E174" s="249" t="s">
        <v>3048</v>
      </c>
      <c r="F174">
        <v>172</v>
      </c>
    </row>
    <row r="175" spans="1:6" x14ac:dyDescent="0.25">
      <c r="A175" t="s">
        <v>193</v>
      </c>
      <c r="B175" s="248">
        <v>653.5</v>
      </c>
      <c r="C175" t="s">
        <v>3182</v>
      </c>
      <c r="D175" t="s">
        <v>3053</v>
      </c>
      <c r="E175" s="249" t="s">
        <v>3043</v>
      </c>
      <c r="F175">
        <v>173</v>
      </c>
    </row>
    <row r="176" spans="1:6" x14ac:dyDescent="0.25">
      <c r="A176" t="s">
        <v>2615</v>
      </c>
      <c r="B176" s="248">
        <v>416</v>
      </c>
      <c r="C176" t="s">
        <v>3183</v>
      </c>
      <c r="D176" t="s">
        <v>3056</v>
      </c>
      <c r="E176" s="249" t="s">
        <v>3028</v>
      </c>
      <c r="F176">
        <v>174</v>
      </c>
    </row>
    <row r="177" spans="1:6" x14ac:dyDescent="0.25">
      <c r="A177" t="s">
        <v>5777</v>
      </c>
      <c r="B177" s="248">
        <v>548.5</v>
      </c>
      <c r="C177" t="s">
        <v>5936</v>
      </c>
      <c r="D177" t="s">
        <v>3056</v>
      </c>
      <c r="E177" s="249" t="s">
        <v>3028</v>
      </c>
      <c r="F177">
        <v>175</v>
      </c>
    </row>
    <row r="178" spans="1:6" x14ac:dyDescent="0.25">
      <c r="A178" t="s">
        <v>671</v>
      </c>
      <c r="B178" s="248">
        <v>337</v>
      </c>
      <c r="C178" t="s">
        <v>3184</v>
      </c>
      <c r="D178" t="s">
        <v>3053</v>
      </c>
      <c r="E178" s="249" t="s">
        <v>3045</v>
      </c>
      <c r="F178">
        <v>176</v>
      </c>
    </row>
    <row r="179" spans="1:6" x14ac:dyDescent="0.25">
      <c r="A179" t="s">
        <v>5909</v>
      </c>
      <c r="B179" s="248">
        <v>899</v>
      </c>
      <c r="C179" t="s">
        <v>5938</v>
      </c>
      <c r="D179" t="s">
        <v>3053</v>
      </c>
      <c r="E179" s="249" t="s">
        <v>3046</v>
      </c>
      <c r="F179">
        <v>177</v>
      </c>
    </row>
    <row r="180" spans="1:6" x14ac:dyDescent="0.25">
      <c r="A180" t="s">
        <v>736</v>
      </c>
      <c r="B180" s="248">
        <v>337</v>
      </c>
      <c r="C180" t="s">
        <v>3185</v>
      </c>
      <c r="D180" t="s">
        <v>3053</v>
      </c>
      <c r="E180" s="249" t="s">
        <v>3045</v>
      </c>
      <c r="F180">
        <v>178</v>
      </c>
    </row>
    <row r="181" spans="1:6" x14ac:dyDescent="0.25">
      <c r="A181" t="s">
        <v>1106</v>
      </c>
      <c r="B181" s="248">
        <v>899</v>
      </c>
      <c r="C181" t="s">
        <v>3186</v>
      </c>
      <c r="D181" t="s">
        <v>3053</v>
      </c>
      <c r="E181" s="249" t="s">
        <v>3046</v>
      </c>
      <c r="F181">
        <v>179</v>
      </c>
    </row>
    <row r="182" spans="1:6" x14ac:dyDescent="0.25">
      <c r="A182" t="s">
        <v>374</v>
      </c>
      <c r="B182" s="248">
        <v>578.5</v>
      </c>
      <c r="C182" t="s">
        <v>3187</v>
      </c>
      <c r="D182" t="s">
        <v>3053</v>
      </c>
      <c r="E182" s="249" t="s">
        <v>3043</v>
      </c>
      <c r="F182">
        <v>180</v>
      </c>
    </row>
    <row r="183" spans="1:6" x14ac:dyDescent="0.25">
      <c r="A183" t="s">
        <v>5769</v>
      </c>
      <c r="B183" s="248">
        <v>483</v>
      </c>
      <c r="C183" t="s">
        <v>5770</v>
      </c>
      <c r="D183" t="s">
        <v>3053</v>
      </c>
      <c r="E183" s="249" t="s">
        <v>3043</v>
      </c>
      <c r="F183">
        <v>181</v>
      </c>
    </row>
    <row r="184" spans="1:6" x14ac:dyDescent="0.25">
      <c r="A184" t="s">
        <v>5923</v>
      </c>
      <c r="B184" s="248">
        <v>332</v>
      </c>
      <c r="C184" t="s">
        <v>5924</v>
      </c>
      <c r="D184" t="s">
        <v>3053</v>
      </c>
      <c r="E184" s="249" t="s">
        <v>3045</v>
      </c>
      <c r="F184">
        <v>182</v>
      </c>
    </row>
    <row r="185" spans="1:6" x14ac:dyDescent="0.25">
      <c r="A185" t="s">
        <v>1067</v>
      </c>
      <c r="B185" s="248">
        <v>899</v>
      </c>
      <c r="C185" t="s">
        <v>3188</v>
      </c>
      <c r="D185" t="s">
        <v>3053</v>
      </c>
      <c r="E185" s="249" t="s">
        <v>3046</v>
      </c>
      <c r="F185">
        <v>183</v>
      </c>
    </row>
    <row r="186" spans="1:6" x14ac:dyDescent="0.25">
      <c r="A186" t="s">
        <v>1030</v>
      </c>
      <c r="B186" s="248">
        <v>2903</v>
      </c>
      <c r="C186" t="s">
        <v>3189</v>
      </c>
      <c r="D186" t="s">
        <v>3053</v>
      </c>
      <c r="E186" s="249" t="s">
        <v>3045</v>
      </c>
      <c r="F186">
        <v>184</v>
      </c>
    </row>
    <row r="187" spans="1:6" x14ac:dyDescent="0.25">
      <c r="A187" t="s">
        <v>1893</v>
      </c>
      <c r="B187" s="248">
        <v>4752</v>
      </c>
      <c r="C187" t="s">
        <v>3190</v>
      </c>
      <c r="D187" t="s">
        <v>3053</v>
      </c>
      <c r="E187" s="249" t="s">
        <v>3001</v>
      </c>
      <c r="F187">
        <v>185</v>
      </c>
    </row>
    <row r="188" spans="1:6" x14ac:dyDescent="0.25">
      <c r="A188" t="s">
        <v>1886</v>
      </c>
      <c r="B188" s="248">
        <v>3921</v>
      </c>
      <c r="C188" t="s">
        <v>3191</v>
      </c>
      <c r="D188" t="s">
        <v>3053</v>
      </c>
      <c r="E188" s="249" t="s">
        <v>3001</v>
      </c>
      <c r="F188">
        <v>186</v>
      </c>
    </row>
    <row r="189" spans="1:6" x14ac:dyDescent="0.25">
      <c r="A189" t="s">
        <v>1919</v>
      </c>
      <c r="B189" s="248">
        <v>9210</v>
      </c>
      <c r="C189" t="s">
        <v>3192</v>
      </c>
      <c r="D189" t="s">
        <v>3053</v>
      </c>
      <c r="E189" s="249" t="s">
        <v>3001</v>
      </c>
      <c r="F189">
        <v>187</v>
      </c>
    </row>
    <row r="190" spans="1:6" x14ac:dyDescent="0.25">
      <c r="A190" t="s">
        <v>1923</v>
      </c>
      <c r="B190" s="248">
        <v>11573</v>
      </c>
      <c r="C190" t="s">
        <v>3193</v>
      </c>
      <c r="D190" t="s">
        <v>3053</v>
      </c>
      <c r="E190" s="249" t="s">
        <v>3001</v>
      </c>
      <c r="F190">
        <v>188</v>
      </c>
    </row>
    <row r="191" spans="1:6" x14ac:dyDescent="0.25">
      <c r="A191" t="s">
        <v>1904</v>
      </c>
      <c r="B191" s="248">
        <v>7440</v>
      </c>
      <c r="C191" t="s">
        <v>3194</v>
      </c>
      <c r="D191" t="s">
        <v>3053</v>
      </c>
      <c r="E191" s="249" t="s">
        <v>3001</v>
      </c>
      <c r="F191">
        <v>189</v>
      </c>
    </row>
    <row r="192" spans="1:6" x14ac:dyDescent="0.25">
      <c r="A192" t="s">
        <v>1913</v>
      </c>
      <c r="B192" s="248">
        <v>9778</v>
      </c>
      <c r="C192" t="s">
        <v>3195</v>
      </c>
      <c r="D192" t="s">
        <v>3053</v>
      </c>
      <c r="E192" s="249" t="s">
        <v>3001</v>
      </c>
      <c r="F192">
        <v>190</v>
      </c>
    </row>
    <row r="193" spans="1:6" x14ac:dyDescent="0.25">
      <c r="A193" t="s">
        <v>759</v>
      </c>
      <c r="B193" s="248">
        <v>1237</v>
      </c>
      <c r="C193" t="s">
        <v>3196</v>
      </c>
      <c r="D193" t="s">
        <v>3053</v>
      </c>
      <c r="E193" s="249" t="s">
        <v>3045</v>
      </c>
      <c r="F193">
        <v>191</v>
      </c>
    </row>
    <row r="194" spans="1:6" x14ac:dyDescent="0.25">
      <c r="A194" t="s">
        <v>5785</v>
      </c>
      <c r="B194" s="248">
        <v>2515</v>
      </c>
      <c r="C194" t="s">
        <v>5960</v>
      </c>
      <c r="D194" t="s">
        <v>3053</v>
      </c>
      <c r="E194" s="249" t="s">
        <v>3045</v>
      </c>
      <c r="F194">
        <v>192</v>
      </c>
    </row>
    <row r="195" spans="1:6" x14ac:dyDescent="0.25">
      <c r="A195" t="s">
        <v>1131</v>
      </c>
      <c r="B195" s="248">
        <v>2140</v>
      </c>
      <c r="C195" t="s">
        <v>3197</v>
      </c>
      <c r="D195" t="s">
        <v>3053</v>
      </c>
      <c r="E195" s="249" t="s">
        <v>3046</v>
      </c>
      <c r="F195">
        <v>193</v>
      </c>
    </row>
    <row r="196" spans="1:6" x14ac:dyDescent="0.25">
      <c r="A196" t="s">
        <v>5807</v>
      </c>
      <c r="B196" s="248">
        <v>3517</v>
      </c>
      <c r="C196" t="s">
        <v>5967</v>
      </c>
      <c r="D196" t="s">
        <v>3053</v>
      </c>
      <c r="E196" s="249" t="s">
        <v>3046</v>
      </c>
      <c r="F196">
        <v>194</v>
      </c>
    </row>
    <row r="197" spans="1:6" x14ac:dyDescent="0.25">
      <c r="A197" t="s">
        <v>770</v>
      </c>
      <c r="B197" s="248">
        <v>1365</v>
      </c>
      <c r="C197" t="s">
        <v>3198</v>
      </c>
      <c r="D197" t="s">
        <v>3053</v>
      </c>
      <c r="E197" s="249" t="s">
        <v>3045</v>
      </c>
      <c r="F197">
        <v>195</v>
      </c>
    </row>
    <row r="198" spans="1:6" x14ac:dyDescent="0.25">
      <c r="A198" t="s">
        <v>5795</v>
      </c>
      <c r="B198" s="248">
        <v>2772</v>
      </c>
      <c r="C198" t="s">
        <v>5962</v>
      </c>
      <c r="D198" t="s">
        <v>3053</v>
      </c>
      <c r="E198" s="249" t="s">
        <v>3045</v>
      </c>
      <c r="F198">
        <v>196</v>
      </c>
    </row>
    <row r="199" spans="1:6" x14ac:dyDescent="0.25">
      <c r="A199" t="s">
        <v>1139</v>
      </c>
      <c r="B199" s="248">
        <v>1988</v>
      </c>
      <c r="C199" t="s">
        <v>3199</v>
      </c>
      <c r="D199" t="s">
        <v>3053</v>
      </c>
      <c r="E199" s="249" t="s">
        <v>3046</v>
      </c>
      <c r="F199">
        <v>197</v>
      </c>
    </row>
    <row r="200" spans="1:6" x14ac:dyDescent="0.25">
      <c r="A200" t="s">
        <v>5816</v>
      </c>
      <c r="B200" s="248">
        <v>3517</v>
      </c>
      <c r="C200" t="s">
        <v>5968</v>
      </c>
      <c r="D200" t="s">
        <v>3053</v>
      </c>
      <c r="E200" s="249" t="s">
        <v>3046</v>
      </c>
      <c r="F200">
        <v>198</v>
      </c>
    </row>
    <row r="201" spans="1:6" x14ac:dyDescent="0.25">
      <c r="A201" t="s">
        <v>814</v>
      </c>
      <c r="B201" s="248">
        <v>3383</v>
      </c>
      <c r="C201" t="s">
        <v>3200</v>
      </c>
      <c r="D201" t="s">
        <v>3053</v>
      </c>
      <c r="E201" s="249" t="s">
        <v>3045</v>
      </c>
      <c r="F201">
        <v>199</v>
      </c>
    </row>
    <row r="202" spans="1:6" x14ac:dyDescent="0.25">
      <c r="A202" t="s">
        <v>821</v>
      </c>
      <c r="B202" s="248">
        <v>3383</v>
      </c>
      <c r="C202" t="s">
        <v>3201</v>
      </c>
      <c r="D202" t="s">
        <v>3053</v>
      </c>
      <c r="E202" s="249" t="s">
        <v>3045</v>
      </c>
      <c r="F202">
        <v>200</v>
      </c>
    </row>
    <row r="203" spans="1:6" x14ac:dyDescent="0.25">
      <c r="A203" t="s">
        <v>2581</v>
      </c>
      <c r="B203" s="248">
        <v>463</v>
      </c>
      <c r="C203" t="s">
        <v>3202</v>
      </c>
      <c r="D203" t="s">
        <v>3056</v>
      </c>
      <c r="E203" s="249" t="s">
        <v>3028</v>
      </c>
      <c r="F203">
        <v>201</v>
      </c>
    </row>
    <row r="204" spans="1:6" x14ac:dyDescent="0.25">
      <c r="A204" t="s">
        <v>1973</v>
      </c>
      <c r="B204" s="248">
        <v>250</v>
      </c>
      <c r="C204" t="s">
        <v>3203</v>
      </c>
      <c r="D204" t="s">
        <v>3204</v>
      </c>
      <c r="E204" s="249" t="s">
        <v>3001</v>
      </c>
      <c r="F204">
        <v>202</v>
      </c>
    </row>
    <row r="205" spans="1:6" x14ac:dyDescent="0.25">
      <c r="A205" t="s">
        <v>1070</v>
      </c>
      <c r="B205" s="248">
        <v>1739</v>
      </c>
      <c r="C205" t="s">
        <v>3205</v>
      </c>
      <c r="D205" t="s">
        <v>3204</v>
      </c>
      <c r="E205" s="249" t="s">
        <v>3046</v>
      </c>
      <c r="F205">
        <v>203</v>
      </c>
    </row>
    <row r="206" spans="1:6" x14ac:dyDescent="0.25">
      <c r="A206" t="s">
        <v>1963</v>
      </c>
      <c r="B206" s="248">
        <v>250</v>
      </c>
      <c r="C206" t="s">
        <v>3206</v>
      </c>
      <c r="D206" t="s">
        <v>3204</v>
      </c>
      <c r="E206" s="249" t="s">
        <v>3001</v>
      </c>
      <c r="F206">
        <v>204</v>
      </c>
    </row>
    <row r="207" spans="1:6" x14ac:dyDescent="0.25">
      <c r="A207" t="s">
        <v>1974</v>
      </c>
      <c r="B207" s="248">
        <v>250</v>
      </c>
      <c r="C207" t="s">
        <v>3207</v>
      </c>
      <c r="D207" t="s">
        <v>3204</v>
      </c>
      <c r="E207" s="249" t="s">
        <v>3001</v>
      </c>
      <c r="F207">
        <v>205</v>
      </c>
    </row>
    <row r="208" spans="1:6" x14ac:dyDescent="0.25">
      <c r="A208" t="s">
        <v>2623</v>
      </c>
      <c r="B208" s="248">
        <v>692</v>
      </c>
      <c r="C208" t="s">
        <v>3208</v>
      </c>
      <c r="D208" t="s">
        <v>3056</v>
      </c>
      <c r="E208" s="249" t="s">
        <v>3028</v>
      </c>
      <c r="F208">
        <v>206</v>
      </c>
    </row>
    <row r="209" spans="1:6" x14ac:dyDescent="0.25">
      <c r="A209" t="s">
        <v>2652</v>
      </c>
      <c r="B209" s="248">
        <v>3620</v>
      </c>
      <c r="C209" t="s">
        <v>3209</v>
      </c>
      <c r="D209" t="s">
        <v>3056</v>
      </c>
      <c r="E209" s="249" t="s">
        <v>3028</v>
      </c>
      <c r="F209">
        <v>207</v>
      </c>
    </row>
    <row r="210" spans="1:6" x14ac:dyDescent="0.25">
      <c r="A210" t="s">
        <v>2634</v>
      </c>
      <c r="B210" s="248">
        <v>2012</v>
      </c>
      <c r="C210" t="s">
        <v>3210</v>
      </c>
      <c r="D210" t="s">
        <v>3056</v>
      </c>
      <c r="E210" s="249" t="s">
        <v>3028</v>
      </c>
      <c r="F210">
        <v>208</v>
      </c>
    </row>
    <row r="211" spans="1:6" x14ac:dyDescent="0.25">
      <c r="A211" t="s">
        <v>2644</v>
      </c>
      <c r="B211" s="248">
        <v>2929</v>
      </c>
      <c r="C211" t="s">
        <v>3211</v>
      </c>
      <c r="D211" t="s">
        <v>3056</v>
      </c>
      <c r="E211" s="249" t="s">
        <v>3028</v>
      </c>
      <c r="F211">
        <v>209</v>
      </c>
    </row>
    <row r="212" spans="1:6" x14ac:dyDescent="0.25">
      <c r="A212" t="s">
        <v>2716</v>
      </c>
      <c r="B212" s="248">
        <v>1359</v>
      </c>
      <c r="C212" t="s">
        <v>3212</v>
      </c>
      <c r="D212" t="s">
        <v>3056</v>
      </c>
      <c r="E212" s="249" t="s">
        <v>3028</v>
      </c>
      <c r="F212">
        <v>210</v>
      </c>
    </row>
    <row r="213" spans="1:6" x14ac:dyDescent="0.25">
      <c r="A213" t="s">
        <v>2726</v>
      </c>
      <c r="B213" s="248">
        <v>2524</v>
      </c>
      <c r="C213" t="s">
        <v>3213</v>
      </c>
      <c r="D213" t="s">
        <v>3056</v>
      </c>
      <c r="E213" s="249" t="s">
        <v>3028</v>
      </c>
      <c r="F213">
        <v>211</v>
      </c>
    </row>
    <row r="214" spans="1:6" x14ac:dyDescent="0.25">
      <c r="A214" t="s">
        <v>2662</v>
      </c>
      <c r="B214" s="248">
        <v>865</v>
      </c>
      <c r="C214" t="s">
        <v>3214</v>
      </c>
      <c r="D214" t="s">
        <v>3056</v>
      </c>
      <c r="E214" s="249" t="s">
        <v>3028</v>
      </c>
      <c r="F214">
        <v>212</v>
      </c>
    </row>
    <row r="215" spans="1:6" x14ac:dyDescent="0.25">
      <c r="A215" t="s">
        <v>2677</v>
      </c>
      <c r="B215" s="248">
        <v>2193</v>
      </c>
      <c r="C215" t="s">
        <v>3215</v>
      </c>
      <c r="D215" t="s">
        <v>3056</v>
      </c>
      <c r="E215" s="249" t="s">
        <v>3028</v>
      </c>
      <c r="F215">
        <v>213</v>
      </c>
    </row>
    <row r="216" spans="1:6" x14ac:dyDescent="0.25">
      <c r="A216" t="s">
        <v>2690</v>
      </c>
      <c r="B216" s="248">
        <v>3210</v>
      </c>
      <c r="C216" t="s">
        <v>3216</v>
      </c>
      <c r="D216" t="s">
        <v>3056</v>
      </c>
      <c r="E216" s="249" t="s">
        <v>3028</v>
      </c>
      <c r="F216">
        <v>214</v>
      </c>
    </row>
    <row r="217" spans="1:6" x14ac:dyDescent="0.25">
      <c r="A217" t="s">
        <v>2870</v>
      </c>
      <c r="B217" s="248">
        <v>6344</v>
      </c>
      <c r="C217" t="s">
        <v>3217</v>
      </c>
      <c r="D217" t="s">
        <v>3056</v>
      </c>
      <c r="E217" s="249" t="s">
        <v>3028</v>
      </c>
      <c r="F217">
        <v>215</v>
      </c>
    </row>
    <row r="218" spans="1:6" x14ac:dyDescent="0.25">
      <c r="A218" t="s">
        <v>75</v>
      </c>
      <c r="B218" s="248">
        <v>156</v>
      </c>
      <c r="C218" t="s">
        <v>3218</v>
      </c>
      <c r="D218" t="s">
        <v>3053</v>
      </c>
      <c r="E218" s="249" t="s">
        <v>3043</v>
      </c>
      <c r="F218">
        <v>216</v>
      </c>
    </row>
    <row r="219" spans="1:6" x14ac:dyDescent="0.25">
      <c r="A219" t="s">
        <v>97</v>
      </c>
      <c r="B219" s="248">
        <v>112</v>
      </c>
      <c r="C219" t="s">
        <v>3219</v>
      </c>
      <c r="D219" t="s">
        <v>3053</v>
      </c>
      <c r="E219" s="249" t="s">
        <v>3043</v>
      </c>
      <c r="F219">
        <v>217</v>
      </c>
    </row>
    <row r="220" spans="1:6" x14ac:dyDescent="0.25">
      <c r="A220" t="s">
        <v>1286</v>
      </c>
      <c r="B220" s="248">
        <v>697</v>
      </c>
      <c r="C220" t="s">
        <v>3220</v>
      </c>
      <c r="D220" t="s">
        <v>3053</v>
      </c>
      <c r="E220" s="249" t="s">
        <v>3047</v>
      </c>
      <c r="F220">
        <v>218</v>
      </c>
    </row>
    <row r="221" spans="1:6" x14ac:dyDescent="0.25">
      <c r="A221" t="s">
        <v>1636</v>
      </c>
      <c r="B221" s="248">
        <v>1421</v>
      </c>
      <c r="C221" t="s">
        <v>3221</v>
      </c>
      <c r="D221" t="s">
        <v>3053</v>
      </c>
      <c r="E221" s="249" t="s">
        <v>3048</v>
      </c>
      <c r="F221">
        <v>219</v>
      </c>
    </row>
    <row r="222" spans="1:6" x14ac:dyDescent="0.25">
      <c r="A222" t="s">
        <v>1375</v>
      </c>
      <c r="B222" s="248">
        <v>1076</v>
      </c>
      <c r="C222" t="s">
        <v>3222</v>
      </c>
      <c r="D222" t="s">
        <v>3053</v>
      </c>
      <c r="E222" s="249" t="s">
        <v>3047</v>
      </c>
      <c r="F222">
        <v>220</v>
      </c>
    </row>
    <row r="223" spans="1:6" x14ac:dyDescent="0.25">
      <c r="A223" t="s">
        <v>1649</v>
      </c>
      <c r="B223" s="248">
        <v>2616</v>
      </c>
      <c r="C223" t="s">
        <v>3223</v>
      </c>
      <c r="D223" t="s">
        <v>3053</v>
      </c>
      <c r="E223" s="249" t="s">
        <v>3048</v>
      </c>
      <c r="F223">
        <v>221</v>
      </c>
    </row>
    <row r="224" spans="1:6" x14ac:dyDescent="0.25">
      <c r="A224" t="s">
        <v>1837</v>
      </c>
      <c r="B224" s="248">
        <v>6342</v>
      </c>
      <c r="C224" t="s">
        <v>3224</v>
      </c>
      <c r="D224" t="s">
        <v>3053</v>
      </c>
      <c r="E224" s="249" t="s">
        <v>3049</v>
      </c>
      <c r="F224">
        <v>222</v>
      </c>
    </row>
    <row r="225" spans="1:6" x14ac:dyDescent="0.25">
      <c r="A225" t="s">
        <v>1803</v>
      </c>
      <c r="B225" s="248">
        <v>2000</v>
      </c>
      <c r="C225" t="s">
        <v>3225</v>
      </c>
      <c r="D225" t="s">
        <v>3053</v>
      </c>
      <c r="E225" s="249" t="s">
        <v>3049</v>
      </c>
      <c r="F225">
        <v>223</v>
      </c>
    </row>
    <row r="226" spans="1:6" x14ac:dyDescent="0.25">
      <c r="A226" t="s">
        <v>1457</v>
      </c>
      <c r="B226" s="248">
        <v>825</v>
      </c>
      <c r="C226" t="s">
        <v>3226</v>
      </c>
      <c r="D226" t="s">
        <v>3053</v>
      </c>
      <c r="E226" s="249" t="s">
        <v>3047</v>
      </c>
      <c r="F226">
        <v>224</v>
      </c>
    </row>
    <row r="227" spans="1:6" x14ac:dyDescent="0.25">
      <c r="A227" t="s">
        <v>1485</v>
      </c>
      <c r="B227" s="248">
        <v>787</v>
      </c>
      <c r="C227" t="s">
        <v>3227</v>
      </c>
      <c r="D227" t="s">
        <v>3053</v>
      </c>
      <c r="E227" s="249" t="s">
        <v>3047</v>
      </c>
      <c r="F227">
        <v>225</v>
      </c>
    </row>
    <row r="228" spans="1:6" x14ac:dyDescent="0.25">
      <c r="A228" t="s">
        <v>1556</v>
      </c>
      <c r="B228" s="248">
        <v>669.5</v>
      </c>
      <c r="C228" t="s">
        <v>3228</v>
      </c>
      <c r="D228" t="s">
        <v>3053</v>
      </c>
      <c r="E228" s="249" t="s">
        <v>3047</v>
      </c>
      <c r="F228">
        <v>226</v>
      </c>
    </row>
    <row r="229" spans="1:6" x14ac:dyDescent="0.25">
      <c r="A229" t="s">
        <v>1584</v>
      </c>
      <c r="B229" s="248">
        <v>638.5</v>
      </c>
      <c r="C229" t="s">
        <v>3229</v>
      </c>
      <c r="D229" t="s">
        <v>3053</v>
      </c>
      <c r="E229" s="249" t="s">
        <v>3047</v>
      </c>
      <c r="F229">
        <v>227</v>
      </c>
    </row>
    <row r="230" spans="1:6" x14ac:dyDescent="0.25">
      <c r="A230" t="s">
        <v>1610</v>
      </c>
      <c r="B230" s="248">
        <v>1448</v>
      </c>
      <c r="C230" t="s">
        <v>3230</v>
      </c>
      <c r="D230" t="s">
        <v>3053</v>
      </c>
      <c r="E230" s="249" t="s">
        <v>3047</v>
      </c>
      <c r="F230">
        <v>228</v>
      </c>
    </row>
    <row r="231" spans="1:6" x14ac:dyDescent="0.25">
      <c r="A231" t="s">
        <v>1698</v>
      </c>
      <c r="B231" s="248">
        <v>1634</v>
      </c>
      <c r="C231" t="s">
        <v>3231</v>
      </c>
      <c r="D231" t="s">
        <v>3053</v>
      </c>
      <c r="E231" s="249" t="s">
        <v>3048</v>
      </c>
      <c r="F231">
        <v>229</v>
      </c>
    </row>
    <row r="232" spans="1:6" x14ac:dyDescent="0.25">
      <c r="A232" t="s">
        <v>1864</v>
      </c>
      <c r="B232" s="248">
        <v>3181</v>
      </c>
      <c r="C232" t="s">
        <v>3232</v>
      </c>
      <c r="D232" t="s">
        <v>3053</v>
      </c>
      <c r="E232" s="249" t="s">
        <v>3049</v>
      </c>
      <c r="F232">
        <v>230</v>
      </c>
    </row>
    <row r="233" spans="1:6" x14ac:dyDescent="0.25">
      <c r="A233" t="s">
        <v>1771</v>
      </c>
      <c r="B233" s="248">
        <v>2660</v>
      </c>
      <c r="C233" t="s">
        <v>3233</v>
      </c>
      <c r="D233" t="s">
        <v>3053</v>
      </c>
      <c r="E233" s="249" t="s">
        <v>3048</v>
      </c>
      <c r="F233">
        <v>231</v>
      </c>
    </row>
    <row r="234" spans="1:6" x14ac:dyDescent="0.25">
      <c r="A234" t="s">
        <v>195</v>
      </c>
      <c r="B234" s="248">
        <v>1048</v>
      </c>
      <c r="C234" t="s">
        <v>3234</v>
      </c>
      <c r="D234" t="s">
        <v>3053</v>
      </c>
      <c r="E234" s="249" t="s">
        <v>3043</v>
      </c>
      <c r="F234">
        <v>232</v>
      </c>
    </row>
    <row r="235" spans="1:6" x14ac:dyDescent="0.25">
      <c r="A235" t="s">
        <v>2616</v>
      </c>
      <c r="B235" s="248">
        <v>570</v>
      </c>
      <c r="C235" t="s">
        <v>3235</v>
      </c>
      <c r="D235" t="s">
        <v>3056</v>
      </c>
      <c r="E235" s="249" t="s">
        <v>3028</v>
      </c>
      <c r="F235">
        <v>233</v>
      </c>
    </row>
    <row r="236" spans="1:6" x14ac:dyDescent="0.25">
      <c r="A236" t="s">
        <v>5778</v>
      </c>
      <c r="B236" s="248">
        <v>715.5</v>
      </c>
      <c r="C236" t="s">
        <v>5937</v>
      </c>
      <c r="D236" t="s">
        <v>3056</v>
      </c>
      <c r="E236" s="249" t="s">
        <v>3028</v>
      </c>
      <c r="F236">
        <v>234</v>
      </c>
    </row>
    <row r="237" spans="1:6" x14ac:dyDescent="0.25">
      <c r="A237" t="s">
        <v>674</v>
      </c>
      <c r="B237" s="248">
        <v>430.5</v>
      </c>
      <c r="C237" t="s">
        <v>3236</v>
      </c>
      <c r="D237" t="s">
        <v>3053</v>
      </c>
      <c r="E237" s="249" t="s">
        <v>3045</v>
      </c>
      <c r="F237">
        <v>235</v>
      </c>
    </row>
    <row r="238" spans="1:6" x14ac:dyDescent="0.25">
      <c r="A238" t="s">
        <v>1084</v>
      </c>
      <c r="B238" s="248">
        <v>1334</v>
      </c>
      <c r="C238" t="s">
        <v>3237</v>
      </c>
      <c r="D238" t="s">
        <v>3053</v>
      </c>
      <c r="E238" s="249" t="s">
        <v>3046</v>
      </c>
      <c r="F238">
        <v>236</v>
      </c>
    </row>
    <row r="239" spans="1:6" x14ac:dyDescent="0.25">
      <c r="A239" t="s">
        <v>739</v>
      </c>
      <c r="B239" s="248">
        <v>430.5</v>
      </c>
      <c r="C239" t="s">
        <v>3238</v>
      </c>
      <c r="D239" t="s">
        <v>3053</v>
      </c>
      <c r="E239" s="249" t="s">
        <v>3045</v>
      </c>
      <c r="F239">
        <v>237</v>
      </c>
    </row>
    <row r="240" spans="1:6" x14ac:dyDescent="0.25">
      <c r="A240" t="s">
        <v>1109</v>
      </c>
      <c r="B240" s="248">
        <v>1334</v>
      </c>
      <c r="C240" t="s">
        <v>3239</v>
      </c>
      <c r="D240" t="s">
        <v>3053</v>
      </c>
      <c r="E240" s="249" t="s">
        <v>3046</v>
      </c>
      <c r="F240">
        <v>238</v>
      </c>
    </row>
    <row r="241" spans="1:6" x14ac:dyDescent="0.25">
      <c r="A241" t="s">
        <v>2298</v>
      </c>
      <c r="B241" s="248">
        <v>329</v>
      </c>
      <c r="C241" t="s">
        <v>3240</v>
      </c>
      <c r="D241" t="s">
        <v>3241</v>
      </c>
      <c r="E241" s="249" t="s">
        <v>3020</v>
      </c>
      <c r="F241">
        <v>239</v>
      </c>
    </row>
    <row r="242" spans="1:6" x14ac:dyDescent="0.25">
      <c r="A242" t="s">
        <v>2362</v>
      </c>
      <c r="B242" s="248">
        <v>1306</v>
      </c>
      <c r="C242" t="s">
        <v>3242</v>
      </c>
      <c r="D242" t="s">
        <v>3241</v>
      </c>
      <c r="E242" s="249" t="s">
        <v>3020</v>
      </c>
      <c r="F242">
        <v>240</v>
      </c>
    </row>
    <row r="243" spans="1:6" x14ac:dyDescent="0.25">
      <c r="A243" t="s">
        <v>2380</v>
      </c>
      <c r="B243" s="248">
        <v>1382</v>
      </c>
      <c r="C243" t="s">
        <v>3243</v>
      </c>
      <c r="D243" t="s">
        <v>3241</v>
      </c>
      <c r="E243" s="249" t="s">
        <v>3020</v>
      </c>
      <c r="F243">
        <v>241</v>
      </c>
    </row>
    <row r="244" spans="1:6" x14ac:dyDescent="0.25">
      <c r="A244" t="s">
        <v>2345</v>
      </c>
      <c r="B244" s="248">
        <v>572.5</v>
      </c>
      <c r="C244" t="s">
        <v>3244</v>
      </c>
      <c r="D244" t="s">
        <v>3241</v>
      </c>
      <c r="E244" s="249" t="s">
        <v>3020</v>
      </c>
      <c r="F244">
        <v>242</v>
      </c>
    </row>
    <row r="245" spans="1:6" x14ac:dyDescent="0.25">
      <c r="A245" t="s">
        <v>2238</v>
      </c>
      <c r="B245" s="248">
        <v>1213</v>
      </c>
      <c r="C245" t="s">
        <v>3245</v>
      </c>
      <c r="D245" t="s">
        <v>3246</v>
      </c>
      <c r="E245" s="249" t="s">
        <v>3018</v>
      </c>
      <c r="F245">
        <v>243</v>
      </c>
    </row>
    <row r="246" spans="1:6" x14ac:dyDescent="0.25">
      <c r="A246" t="s">
        <v>2265</v>
      </c>
      <c r="B246" s="248">
        <v>2069</v>
      </c>
      <c r="C246" t="s">
        <v>3247</v>
      </c>
      <c r="D246" t="s">
        <v>3246</v>
      </c>
      <c r="E246" s="249" t="s">
        <v>3018</v>
      </c>
      <c r="F246">
        <v>244</v>
      </c>
    </row>
    <row r="247" spans="1:6" x14ac:dyDescent="0.25">
      <c r="A247" t="s">
        <v>2279</v>
      </c>
      <c r="B247" s="248">
        <v>2069</v>
      </c>
      <c r="C247" t="s">
        <v>3248</v>
      </c>
      <c r="D247" t="s">
        <v>3246</v>
      </c>
      <c r="E247" s="249" t="s">
        <v>3018</v>
      </c>
      <c r="F247">
        <v>245</v>
      </c>
    </row>
    <row r="248" spans="1:6" x14ac:dyDescent="0.25">
      <c r="A248" t="s">
        <v>2431</v>
      </c>
      <c r="B248" s="248">
        <v>1942</v>
      </c>
      <c r="C248" t="s">
        <v>3249</v>
      </c>
      <c r="D248" t="s">
        <v>3241</v>
      </c>
      <c r="E248" s="249" t="s">
        <v>3020</v>
      </c>
      <c r="F248">
        <v>246</v>
      </c>
    </row>
    <row r="249" spans="1:6" x14ac:dyDescent="0.25">
      <c r="A249" t="s">
        <v>2422</v>
      </c>
      <c r="B249" s="248">
        <v>1581</v>
      </c>
      <c r="C249" t="s">
        <v>3250</v>
      </c>
      <c r="D249" t="s">
        <v>3241</v>
      </c>
      <c r="E249" s="249" t="s">
        <v>3020</v>
      </c>
      <c r="F249">
        <v>247</v>
      </c>
    </row>
    <row r="250" spans="1:6" x14ac:dyDescent="0.25">
      <c r="A250" t="s">
        <v>375</v>
      </c>
      <c r="B250" s="248">
        <v>483</v>
      </c>
      <c r="C250" t="s">
        <v>3251</v>
      </c>
      <c r="D250" t="s">
        <v>3053</v>
      </c>
      <c r="E250" s="249" t="s">
        <v>3043</v>
      </c>
      <c r="F250">
        <v>248</v>
      </c>
    </row>
    <row r="251" spans="1:6" x14ac:dyDescent="0.25">
      <c r="A251" t="s">
        <v>228</v>
      </c>
      <c r="B251" s="248">
        <v>330.5</v>
      </c>
      <c r="C251" t="s">
        <v>3252</v>
      </c>
      <c r="D251" t="s">
        <v>3053</v>
      </c>
      <c r="E251" s="249" t="s">
        <v>3043</v>
      </c>
      <c r="F251">
        <v>249</v>
      </c>
    </row>
    <row r="252" spans="1:6" x14ac:dyDescent="0.25">
      <c r="A252" t="s">
        <v>472</v>
      </c>
      <c r="B252" s="248">
        <v>366</v>
      </c>
      <c r="C252" t="s">
        <v>3253</v>
      </c>
      <c r="D252" t="s">
        <v>3053</v>
      </c>
      <c r="E252" s="249" t="s">
        <v>3043</v>
      </c>
      <c r="F252">
        <v>250</v>
      </c>
    </row>
    <row r="253" spans="1:6" x14ac:dyDescent="0.25">
      <c r="A253" t="s">
        <v>1032</v>
      </c>
      <c r="B253" s="248">
        <v>2993</v>
      </c>
      <c r="C253" t="s">
        <v>3254</v>
      </c>
      <c r="D253" t="s">
        <v>3053</v>
      </c>
      <c r="E253" s="249" t="s">
        <v>3045</v>
      </c>
      <c r="F253">
        <v>251</v>
      </c>
    </row>
    <row r="254" spans="1:6" x14ac:dyDescent="0.25">
      <c r="A254" t="s">
        <v>5918</v>
      </c>
      <c r="B254" s="248">
        <v>8545</v>
      </c>
      <c r="C254" t="s">
        <v>5986</v>
      </c>
      <c r="D254" t="s">
        <v>3053</v>
      </c>
      <c r="E254" s="249" t="s">
        <v>3046</v>
      </c>
      <c r="F254">
        <v>252</v>
      </c>
    </row>
    <row r="255" spans="1:6" x14ac:dyDescent="0.25">
      <c r="A255" t="s">
        <v>855</v>
      </c>
      <c r="B255" s="248">
        <v>1161</v>
      </c>
      <c r="C255" t="s">
        <v>3255</v>
      </c>
      <c r="D255" t="s">
        <v>3053</v>
      </c>
      <c r="E255" s="249" t="s">
        <v>3045</v>
      </c>
      <c r="F255">
        <v>253</v>
      </c>
    </row>
    <row r="256" spans="1:6" x14ac:dyDescent="0.25">
      <c r="A256" t="s">
        <v>906</v>
      </c>
      <c r="B256" s="248">
        <v>1348</v>
      </c>
      <c r="C256" t="s">
        <v>3256</v>
      </c>
      <c r="D256" t="s">
        <v>3053</v>
      </c>
      <c r="E256" s="249" t="s">
        <v>3045</v>
      </c>
      <c r="F256">
        <v>254</v>
      </c>
    </row>
    <row r="257" spans="1:6" x14ac:dyDescent="0.25">
      <c r="A257" t="s">
        <v>1160</v>
      </c>
      <c r="B257" s="248">
        <v>1774</v>
      </c>
      <c r="C257" t="s">
        <v>3257</v>
      </c>
      <c r="D257" t="s">
        <v>3053</v>
      </c>
      <c r="E257" s="249" t="s">
        <v>3046</v>
      </c>
      <c r="F257">
        <v>255</v>
      </c>
    </row>
    <row r="258" spans="1:6" x14ac:dyDescent="0.25">
      <c r="A258" t="s">
        <v>1211</v>
      </c>
      <c r="B258" s="248">
        <v>1774</v>
      </c>
      <c r="C258" t="s">
        <v>3258</v>
      </c>
      <c r="D258" t="s">
        <v>3053</v>
      </c>
      <c r="E258" s="249" t="s">
        <v>3046</v>
      </c>
      <c r="F258">
        <v>256</v>
      </c>
    </row>
    <row r="259" spans="1:6" x14ac:dyDescent="0.25">
      <c r="A259" t="s">
        <v>951</v>
      </c>
      <c r="B259" s="248">
        <v>1686</v>
      </c>
      <c r="C259" t="s">
        <v>3259</v>
      </c>
      <c r="D259" t="s">
        <v>3053</v>
      </c>
      <c r="E259" s="249" t="s">
        <v>3045</v>
      </c>
      <c r="F259">
        <v>257</v>
      </c>
    </row>
    <row r="260" spans="1:6" x14ac:dyDescent="0.25">
      <c r="A260" t="s">
        <v>993</v>
      </c>
      <c r="B260" s="248">
        <v>1686</v>
      </c>
      <c r="C260" t="s">
        <v>3260</v>
      </c>
      <c r="D260" t="s">
        <v>3053</v>
      </c>
      <c r="E260" s="249" t="s">
        <v>3045</v>
      </c>
      <c r="F260">
        <v>258</v>
      </c>
    </row>
    <row r="261" spans="1:6" x14ac:dyDescent="0.25">
      <c r="A261" t="s">
        <v>1236</v>
      </c>
      <c r="B261" s="248">
        <v>2690</v>
      </c>
      <c r="C261" t="s">
        <v>3261</v>
      </c>
      <c r="D261" t="s">
        <v>3053</v>
      </c>
      <c r="E261" s="249" t="s">
        <v>3046</v>
      </c>
      <c r="F261">
        <v>259</v>
      </c>
    </row>
    <row r="262" spans="1:6" x14ac:dyDescent="0.25">
      <c r="A262" t="s">
        <v>1887</v>
      </c>
      <c r="B262" s="248">
        <v>6612</v>
      </c>
      <c r="C262" t="s">
        <v>3262</v>
      </c>
      <c r="D262" t="s">
        <v>3053</v>
      </c>
      <c r="E262" s="249" t="s">
        <v>3001</v>
      </c>
      <c r="F262">
        <v>260</v>
      </c>
    </row>
    <row r="263" spans="1:6" x14ac:dyDescent="0.25">
      <c r="A263" t="s">
        <v>1905</v>
      </c>
      <c r="B263" s="248">
        <v>9856</v>
      </c>
      <c r="C263" t="s">
        <v>3263</v>
      </c>
      <c r="D263" t="s">
        <v>3053</v>
      </c>
      <c r="E263" s="249" t="s">
        <v>3001</v>
      </c>
      <c r="F263">
        <v>261</v>
      </c>
    </row>
    <row r="264" spans="1:6" x14ac:dyDescent="0.25">
      <c r="A264" t="s">
        <v>1914</v>
      </c>
      <c r="B264" s="248">
        <v>13816</v>
      </c>
      <c r="C264" t="s">
        <v>3264</v>
      </c>
      <c r="D264" t="s">
        <v>3053</v>
      </c>
      <c r="E264" s="249" t="s">
        <v>3001</v>
      </c>
      <c r="F264">
        <v>262</v>
      </c>
    </row>
    <row r="265" spans="1:6" x14ac:dyDescent="0.25">
      <c r="A265" t="s">
        <v>760</v>
      </c>
      <c r="B265" s="248">
        <v>1638</v>
      </c>
      <c r="C265" t="s">
        <v>3265</v>
      </c>
      <c r="D265" t="s">
        <v>3053</v>
      </c>
      <c r="E265" s="249" t="s">
        <v>3045</v>
      </c>
      <c r="F265">
        <v>263</v>
      </c>
    </row>
    <row r="266" spans="1:6" x14ac:dyDescent="0.25">
      <c r="A266" t="s">
        <v>5786</v>
      </c>
      <c r="B266" s="248">
        <v>2833</v>
      </c>
      <c r="C266" t="s">
        <v>5963</v>
      </c>
      <c r="D266" t="s">
        <v>3053</v>
      </c>
      <c r="E266" s="249" t="s">
        <v>3045</v>
      </c>
      <c r="F266">
        <v>264</v>
      </c>
    </row>
    <row r="267" spans="1:6" x14ac:dyDescent="0.25">
      <c r="A267" t="s">
        <v>1132</v>
      </c>
      <c r="B267" s="248">
        <v>2927</v>
      </c>
      <c r="C267" t="s">
        <v>3266</v>
      </c>
      <c r="D267" t="s">
        <v>3053</v>
      </c>
      <c r="E267" s="249" t="s">
        <v>3046</v>
      </c>
      <c r="F267">
        <v>265</v>
      </c>
    </row>
    <row r="268" spans="1:6" x14ac:dyDescent="0.25">
      <c r="A268" t="s">
        <v>771</v>
      </c>
      <c r="B268" s="248">
        <v>1802</v>
      </c>
      <c r="C268" t="s">
        <v>3267</v>
      </c>
      <c r="D268" t="s">
        <v>3053</v>
      </c>
      <c r="E268" s="249" t="s">
        <v>3045</v>
      </c>
      <c r="F268">
        <v>266</v>
      </c>
    </row>
    <row r="269" spans="1:6" x14ac:dyDescent="0.25">
      <c r="A269" t="s">
        <v>5796</v>
      </c>
      <c r="B269" s="248">
        <v>3110</v>
      </c>
      <c r="C269" t="s">
        <v>5966</v>
      </c>
      <c r="D269" t="s">
        <v>3053</v>
      </c>
      <c r="E269" s="249" t="s">
        <v>3045</v>
      </c>
      <c r="F269">
        <v>267</v>
      </c>
    </row>
    <row r="270" spans="1:6" x14ac:dyDescent="0.25">
      <c r="A270" t="s">
        <v>1140</v>
      </c>
      <c r="B270" s="248">
        <v>2718</v>
      </c>
      <c r="C270" t="s">
        <v>3268</v>
      </c>
      <c r="D270" t="s">
        <v>3053</v>
      </c>
      <c r="E270" s="249" t="s">
        <v>3046</v>
      </c>
      <c r="F270">
        <v>268</v>
      </c>
    </row>
    <row r="271" spans="1:6" x14ac:dyDescent="0.25">
      <c r="A271" t="s">
        <v>5817</v>
      </c>
      <c r="B271" s="248">
        <v>4659</v>
      </c>
      <c r="C271" t="s">
        <v>5973</v>
      </c>
      <c r="D271" t="s">
        <v>3053</v>
      </c>
      <c r="E271" s="249" t="s">
        <v>3046</v>
      </c>
      <c r="F271">
        <v>269</v>
      </c>
    </row>
    <row r="272" spans="1:6" x14ac:dyDescent="0.25">
      <c r="A272" t="s">
        <v>815</v>
      </c>
      <c r="B272" s="248">
        <v>3948</v>
      </c>
      <c r="C272" t="s">
        <v>3269</v>
      </c>
      <c r="D272" t="s">
        <v>3053</v>
      </c>
      <c r="E272" s="249" t="s">
        <v>3045</v>
      </c>
      <c r="F272">
        <v>270</v>
      </c>
    </row>
    <row r="273" spans="1:6" x14ac:dyDescent="0.25">
      <c r="A273" t="s">
        <v>822</v>
      </c>
      <c r="B273" s="248">
        <v>3948</v>
      </c>
      <c r="C273" t="s">
        <v>3270</v>
      </c>
      <c r="D273" t="s">
        <v>3053</v>
      </c>
      <c r="E273" s="249" t="s">
        <v>3045</v>
      </c>
      <c r="F273">
        <v>271</v>
      </c>
    </row>
    <row r="274" spans="1:6" x14ac:dyDescent="0.25">
      <c r="A274" t="s">
        <v>2582</v>
      </c>
      <c r="B274" s="248">
        <v>561.5</v>
      </c>
      <c r="C274" t="s">
        <v>3271</v>
      </c>
      <c r="D274" t="s">
        <v>3056</v>
      </c>
      <c r="E274" s="249" t="s">
        <v>3028</v>
      </c>
      <c r="F274">
        <v>272</v>
      </c>
    </row>
    <row r="275" spans="1:6" x14ac:dyDescent="0.25">
      <c r="A275" t="s">
        <v>2090</v>
      </c>
      <c r="B275" s="248">
        <v>655</v>
      </c>
      <c r="C275" t="s">
        <v>3272</v>
      </c>
      <c r="D275" t="s">
        <v>3053</v>
      </c>
      <c r="E275" s="249" t="s">
        <v>3016</v>
      </c>
      <c r="F275">
        <v>273</v>
      </c>
    </row>
    <row r="276" spans="1:6" x14ac:dyDescent="0.25">
      <c r="A276" t="s">
        <v>2094</v>
      </c>
      <c r="B276" s="248">
        <v>655</v>
      </c>
      <c r="C276" t="s">
        <v>3273</v>
      </c>
      <c r="D276" t="s">
        <v>3053</v>
      </c>
      <c r="E276" s="249" t="s">
        <v>3016</v>
      </c>
      <c r="F276">
        <v>274</v>
      </c>
    </row>
    <row r="277" spans="1:6" x14ac:dyDescent="0.25">
      <c r="A277" t="s">
        <v>2097</v>
      </c>
      <c r="B277" s="248">
        <v>683.5</v>
      </c>
      <c r="C277" t="s">
        <v>3274</v>
      </c>
      <c r="D277" t="s">
        <v>3053</v>
      </c>
      <c r="E277" s="249" t="s">
        <v>3016</v>
      </c>
      <c r="F277">
        <v>275</v>
      </c>
    </row>
    <row r="278" spans="1:6" x14ac:dyDescent="0.25">
      <c r="A278" t="s">
        <v>2179</v>
      </c>
      <c r="B278" s="248">
        <v>1078</v>
      </c>
      <c r="C278" t="s">
        <v>3275</v>
      </c>
      <c r="D278" t="s">
        <v>3053</v>
      </c>
      <c r="E278" s="249" t="s">
        <v>3016</v>
      </c>
      <c r="F278">
        <v>276</v>
      </c>
    </row>
    <row r="279" spans="1:6" x14ac:dyDescent="0.25">
      <c r="A279" t="s">
        <v>2624</v>
      </c>
      <c r="B279" s="248">
        <v>831</v>
      </c>
      <c r="C279" t="s">
        <v>3276</v>
      </c>
      <c r="D279" t="s">
        <v>3056</v>
      </c>
      <c r="E279" s="249" t="s">
        <v>3028</v>
      </c>
      <c r="F279">
        <v>277</v>
      </c>
    </row>
    <row r="280" spans="1:6" x14ac:dyDescent="0.25">
      <c r="A280" t="s">
        <v>2653</v>
      </c>
      <c r="B280" s="248">
        <v>4706</v>
      </c>
      <c r="C280" t="s">
        <v>3277</v>
      </c>
      <c r="D280" t="s">
        <v>3056</v>
      </c>
      <c r="E280" s="249" t="s">
        <v>3028</v>
      </c>
      <c r="F280">
        <v>278</v>
      </c>
    </row>
    <row r="281" spans="1:6" x14ac:dyDescent="0.25">
      <c r="A281" t="s">
        <v>2635</v>
      </c>
      <c r="B281" s="248">
        <v>2424</v>
      </c>
      <c r="C281" t="s">
        <v>3278</v>
      </c>
      <c r="D281" t="s">
        <v>3056</v>
      </c>
      <c r="E281" s="249" t="s">
        <v>3028</v>
      </c>
      <c r="F281">
        <v>279</v>
      </c>
    </row>
    <row r="282" spans="1:6" x14ac:dyDescent="0.25">
      <c r="A282" t="s">
        <v>2645</v>
      </c>
      <c r="B282" s="248">
        <v>3447</v>
      </c>
      <c r="C282" t="s">
        <v>3279</v>
      </c>
      <c r="D282" t="s">
        <v>3056</v>
      </c>
      <c r="E282" s="249" t="s">
        <v>3028</v>
      </c>
      <c r="F282">
        <v>280</v>
      </c>
    </row>
    <row r="283" spans="1:6" x14ac:dyDescent="0.25">
      <c r="A283" t="s">
        <v>2717</v>
      </c>
      <c r="B283" s="248">
        <v>1650</v>
      </c>
      <c r="C283" t="s">
        <v>3280</v>
      </c>
      <c r="D283" t="s">
        <v>3056</v>
      </c>
      <c r="E283" s="249" t="s">
        <v>3028</v>
      </c>
      <c r="F283">
        <v>281</v>
      </c>
    </row>
    <row r="284" spans="1:6" x14ac:dyDescent="0.25">
      <c r="A284" t="s">
        <v>2727</v>
      </c>
      <c r="B284" s="248">
        <v>3293</v>
      </c>
      <c r="C284" t="s">
        <v>3281</v>
      </c>
      <c r="D284" t="s">
        <v>3056</v>
      </c>
      <c r="E284" s="249" t="s">
        <v>3028</v>
      </c>
      <c r="F284">
        <v>282</v>
      </c>
    </row>
    <row r="285" spans="1:6" x14ac:dyDescent="0.25">
      <c r="A285" t="s">
        <v>2663</v>
      </c>
      <c r="B285" s="248">
        <v>1163</v>
      </c>
      <c r="C285" t="s">
        <v>3282</v>
      </c>
      <c r="D285" t="s">
        <v>3056</v>
      </c>
      <c r="E285" s="249" t="s">
        <v>3028</v>
      </c>
      <c r="F285">
        <v>283</v>
      </c>
    </row>
    <row r="286" spans="1:6" x14ac:dyDescent="0.25">
      <c r="A286" t="s">
        <v>2678</v>
      </c>
      <c r="B286" s="248">
        <v>2636</v>
      </c>
      <c r="C286" t="s">
        <v>3283</v>
      </c>
      <c r="D286" t="s">
        <v>3056</v>
      </c>
      <c r="E286" s="249" t="s">
        <v>3028</v>
      </c>
      <c r="F286">
        <v>284</v>
      </c>
    </row>
    <row r="287" spans="1:6" x14ac:dyDescent="0.25">
      <c r="A287" t="s">
        <v>2691</v>
      </c>
      <c r="B287" s="248">
        <v>3951</v>
      </c>
      <c r="C287" t="s">
        <v>3284</v>
      </c>
      <c r="D287" t="s">
        <v>3056</v>
      </c>
      <c r="E287" s="249" t="s">
        <v>3028</v>
      </c>
      <c r="F287">
        <v>285</v>
      </c>
    </row>
    <row r="288" spans="1:6" x14ac:dyDescent="0.25">
      <c r="A288" t="s">
        <v>2871</v>
      </c>
      <c r="B288" s="248">
        <v>6852</v>
      </c>
      <c r="C288" t="s">
        <v>3285</v>
      </c>
      <c r="D288" t="s">
        <v>3056</v>
      </c>
      <c r="E288" s="249" t="s">
        <v>3028</v>
      </c>
      <c r="F288">
        <v>286</v>
      </c>
    </row>
    <row r="289" spans="1:6" x14ac:dyDescent="0.25">
      <c r="A289" t="s">
        <v>2880</v>
      </c>
      <c r="B289" s="248">
        <v>3764</v>
      </c>
      <c r="C289" t="s">
        <v>3286</v>
      </c>
      <c r="D289" t="s">
        <v>3056</v>
      </c>
      <c r="E289" s="249" t="s">
        <v>3028</v>
      </c>
      <c r="F289">
        <v>287</v>
      </c>
    </row>
    <row r="290" spans="1:6" x14ac:dyDescent="0.25">
      <c r="A290" t="s">
        <v>78</v>
      </c>
      <c r="B290" s="248">
        <v>305.5</v>
      </c>
      <c r="C290" t="s">
        <v>3287</v>
      </c>
      <c r="D290" t="s">
        <v>3053</v>
      </c>
      <c r="E290" s="249" t="s">
        <v>3043</v>
      </c>
      <c r="F290">
        <v>288</v>
      </c>
    </row>
    <row r="291" spans="1:6" x14ac:dyDescent="0.25">
      <c r="A291" t="s">
        <v>1289</v>
      </c>
      <c r="B291" s="248">
        <v>930</v>
      </c>
      <c r="C291" t="s">
        <v>3288</v>
      </c>
      <c r="D291" t="s">
        <v>3053</v>
      </c>
      <c r="E291" s="249" t="s">
        <v>3047</v>
      </c>
      <c r="F291">
        <v>289</v>
      </c>
    </row>
    <row r="292" spans="1:6" x14ac:dyDescent="0.25">
      <c r="A292" t="s">
        <v>1378</v>
      </c>
      <c r="B292" s="248">
        <v>1453</v>
      </c>
      <c r="C292" t="s">
        <v>3289</v>
      </c>
      <c r="D292" t="s">
        <v>3053</v>
      </c>
      <c r="E292" s="249" t="s">
        <v>3047</v>
      </c>
      <c r="F292">
        <v>290</v>
      </c>
    </row>
    <row r="293" spans="1:6" x14ac:dyDescent="0.25">
      <c r="A293" t="s">
        <v>1638</v>
      </c>
      <c r="B293" s="248">
        <v>2036</v>
      </c>
      <c r="C293" t="s">
        <v>3290</v>
      </c>
      <c r="D293" t="s">
        <v>3053</v>
      </c>
      <c r="E293" s="249" t="s">
        <v>3048</v>
      </c>
      <c r="F293">
        <v>291</v>
      </c>
    </row>
    <row r="294" spans="1:6" x14ac:dyDescent="0.25">
      <c r="A294" t="s">
        <v>1840</v>
      </c>
      <c r="B294" s="248">
        <v>6195</v>
      </c>
      <c r="C294" t="s">
        <v>3291</v>
      </c>
      <c r="D294" t="s">
        <v>3053</v>
      </c>
      <c r="E294" s="249" t="s">
        <v>3049</v>
      </c>
      <c r="F294">
        <v>292</v>
      </c>
    </row>
    <row r="295" spans="1:6" x14ac:dyDescent="0.25">
      <c r="A295" t="s">
        <v>1461</v>
      </c>
      <c r="B295" s="248">
        <v>851.5</v>
      </c>
      <c r="C295" t="s">
        <v>3292</v>
      </c>
      <c r="D295" t="s">
        <v>3053</v>
      </c>
      <c r="E295" s="249" t="s">
        <v>3047</v>
      </c>
      <c r="F295">
        <v>293</v>
      </c>
    </row>
    <row r="296" spans="1:6" x14ac:dyDescent="0.25">
      <c r="A296" t="s">
        <v>1486</v>
      </c>
      <c r="B296" s="248">
        <v>812.5</v>
      </c>
      <c r="C296" t="s">
        <v>3293</v>
      </c>
      <c r="D296" t="s">
        <v>3053</v>
      </c>
      <c r="E296" s="249" t="s">
        <v>3047</v>
      </c>
      <c r="F296">
        <v>294</v>
      </c>
    </row>
    <row r="297" spans="1:6" x14ac:dyDescent="0.25">
      <c r="A297" t="s">
        <v>1559</v>
      </c>
      <c r="B297" s="248">
        <v>805.5</v>
      </c>
      <c r="C297" t="s">
        <v>3294</v>
      </c>
      <c r="D297" t="s">
        <v>3053</v>
      </c>
      <c r="E297" s="249" t="s">
        <v>3047</v>
      </c>
      <c r="F297">
        <v>295</v>
      </c>
    </row>
    <row r="298" spans="1:6" x14ac:dyDescent="0.25">
      <c r="A298" t="s">
        <v>1585</v>
      </c>
      <c r="B298" s="248">
        <v>768.5</v>
      </c>
      <c r="C298" t="s">
        <v>3295</v>
      </c>
      <c r="D298" t="s">
        <v>3053</v>
      </c>
      <c r="E298" s="249" t="s">
        <v>3047</v>
      </c>
      <c r="F298">
        <v>296</v>
      </c>
    </row>
    <row r="299" spans="1:6" x14ac:dyDescent="0.25">
      <c r="A299" t="s">
        <v>1701</v>
      </c>
      <c r="B299" s="248">
        <v>2057</v>
      </c>
      <c r="C299" t="s">
        <v>3296</v>
      </c>
      <c r="D299" t="s">
        <v>3053</v>
      </c>
      <c r="E299" s="249" t="s">
        <v>3048</v>
      </c>
      <c r="F299">
        <v>297</v>
      </c>
    </row>
    <row r="300" spans="1:6" x14ac:dyDescent="0.25">
      <c r="A300" t="s">
        <v>1722</v>
      </c>
      <c r="B300" s="248">
        <v>1911</v>
      </c>
      <c r="C300" t="s">
        <v>3297</v>
      </c>
      <c r="D300" t="s">
        <v>3053</v>
      </c>
      <c r="E300" s="249" t="s">
        <v>3048</v>
      </c>
      <c r="F300">
        <v>298</v>
      </c>
    </row>
    <row r="301" spans="1:6" x14ac:dyDescent="0.25">
      <c r="A301" t="s">
        <v>1867</v>
      </c>
      <c r="B301" s="248">
        <v>3622</v>
      </c>
      <c r="C301" t="s">
        <v>3298</v>
      </c>
      <c r="D301" t="s">
        <v>3053</v>
      </c>
      <c r="E301" s="249" t="s">
        <v>3049</v>
      </c>
      <c r="F301">
        <v>299</v>
      </c>
    </row>
    <row r="302" spans="1:6" x14ac:dyDescent="0.25">
      <c r="A302" t="s">
        <v>198</v>
      </c>
      <c r="B302" s="248">
        <v>2987</v>
      </c>
      <c r="C302" t="s">
        <v>3299</v>
      </c>
      <c r="D302" t="s">
        <v>3053</v>
      </c>
      <c r="E302" s="249" t="s">
        <v>3043</v>
      </c>
      <c r="F302">
        <v>300</v>
      </c>
    </row>
    <row r="303" spans="1:6" x14ac:dyDescent="0.25">
      <c r="A303" t="s">
        <v>2207</v>
      </c>
      <c r="B303" s="248">
        <v>121</v>
      </c>
      <c r="C303" t="s">
        <v>3300</v>
      </c>
      <c r="D303" t="s">
        <v>3204</v>
      </c>
      <c r="E303" s="249" t="s">
        <v>3016</v>
      </c>
      <c r="F303">
        <v>301</v>
      </c>
    </row>
    <row r="304" spans="1:6" x14ac:dyDescent="0.25">
      <c r="A304" t="s">
        <v>2299</v>
      </c>
      <c r="B304" s="248">
        <v>381.5</v>
      </c>
      <c r="C304" t="s">
        <v>3301</v>
      </c>
      <c r="D304" t="s">
        <v>3241</v>
      </c>
      <c r="E304" s="249" t="s">
        <v>3020</v>
      </c>
      <c r="F304">
        <v>302</v>
      </c>
    </row>
    <row r="305" spans="1:6" x14ac:dyDescent="0.25">
      <c r="A305" t="s">
        <v>2363</v>
      </c>
      <c r="B305" s="248">
        <v>1709</v>
      </c>
      <c r="C305" t="s">
        <v>3302</v>
      </c>
      <c r="D305" t="s">
        <v>3241</v>
      </c>
      <c r="E305" s="249" t="s">
        <v>3020</v>
      </c>
      <c r="F305">
        <v>303</v>
      </c>
    </row>
    <row r="306" spans="1:6" x14ac:dyDescent="0.25">
      <c r="A306" t="s">
        <v>2381</v>
      </c>
      <c r="B306" s="248">
        <v>1879</v>
      </c>
      <c r="C306" t="s">
        <v>3303</v>
      </c>
      <c r="D306" t="s">
        <v>3241</v>
      </c>
      <c r="E306" s="249" t="s">
        <v>3020</v>
      </c>
      <c r="F306">
        <v>304</v>
      </c>
    </row>
    <row r="307" spans="1:6" x14ac:dyDescent="0.25">
      <c r="A307" t="s">
        <v>2239</v>
      </c>
      <c r="B307" s="248">
        <v>1382</v>
      </c>
      <c r="C307" t="s">
        <v>3304</v>
      </c>
      <c r="D307" t="s">
        <v>3246</v>
      </c>
      <c r="E307" s="249" t="s">
        <v>3018</v>
      </c>
      <c r="F307">
        <v>305</v>
      </c>
    </row>
    <row r="308" spans="1:6" x14ac:dyDescent="0.25">
      <c r="A308" t="s">
        <v>2280</v>
      </c>
      <c r="B308" s="248">
        <v>2513</v>
      </c>
      <c r="C308" t="s">
        <v>3305</v>
      </c>
      <c r="D308" t="s">
        <v>3246</v>
      </c>
      <c r="E308" s="249" t="s">
        <v>3018</v>
      </c>
      <c r="F308">
        <v>306</v>
      </c>
    </row>
    <row r="309" spans="1:6" x14ac:dyDescent="0.25">
      <c r="A309" t="s">
        <v>378</v>
      </c>
      <c r="B309" s="248">
        <v>548.5</v>
      </c>
      <c r="C309" t="s">
        <v>3306</v>
      </c>
      <c r="D309" t="s">
        <v>3053</v>
      </c>
      <c r="E309" s="249" t="s">
        <v>3043</v>
      </c>
      <c r="F309">
        <v>307</v>
      </c>
    </row>
    <row r="310" spans="1:6" x14ac:dyDescent="0.25">
      <c r="A310" t="s">
        <v>232</v>
      </c>
      <c r="B310" s="248">
        <v>377.5</v>
      </c>
      <c r="C310" t="s">
        <v>3307</v>
      </c>
      <c r="D310" t="s">
        <v>3053</v>
      </c>
      <c r="E310" s="249" t="s">
        <v>3043</v>
      </c>
      <c r="F310">
        <v>308</v>
      </c>
    </row>
    <row r="311" spans="1:6" x14ac:dyDescent="0.25">
      <c r="A311" t="s">
        <v>473</v>
      </c>
      <c r="B311" s="248">
        <v>446.5</v>
      </c>
      <c r="C311" t="s">
        <v>3308</v>
      </c>
      <c r="D311" t="s">
        <v>3053</v>
      </c>
      <c r="E311" s="249" t="s">
        <v>3043</v>
      </c>
      <c r="F311">
        <v>309</v>
      </c>
    </row>
    <row r="312" spans="1:6" x14ac:dyDescent="0.25">
      <c r="A312" t="s">
        <v>1034</v>
      </c>
      <c r="B312" s="248">
        <v>4156</v>
      </c>
      <c r="C312" t="s">
        <v>3309</v>
      </c>
      <c r="D312" t="s">
        <v>3053</v>
      </c>
      <c r="E312" s="249" t="s">
        <v>3045</v>
      </c>
      <c r="F312">
        <v>310</v>
      </c>
    </row>
    <row r="313" spans="1:6" x14ac:dyDescent="0.25">
      <c r="A313" t="s">
        <v>5919</v>
      </c>
      <c r="B313" s="248">
        <v>11651</v>
      </c>
      <c r="C313" t="s">
        <v>5989</v>
      </c>
      <c r="D313" t="s">
        <v>3053</v>
      </c>
      <c r="E313" s="249" t="s">
        <v>3046</v>
      </c>
      <c r="F313">
        <v>311</v>
      </c>
    </row>
    <row r="314" spans="1:6" x14ac:dyDescent="0.25">
      <c r="A314" t="s">
        <v>858</v>
      </c>
      <c r="B314" s="248">
        <v>1274</v>
      </c>
      <c r="C314" t="s">
        <v>3310</v>
      </c>
      <c r="D314" t="s">
        <v>3053</v>
      </c>
      <c r="E314" s="249" t="s">
        <v>3045</v>
      </c>
      <c r="F314">
        <v>312</v>
      </c>
    </row>
    <row r="315" spans="1:6" x14ac:dyDescent="0.25">
      <c r="A315" t="s">
        <v>909</v>
      </c>
      <c r="B315" s="248">
        <v>1528</v>
      </c>
      <c r="C315" t="s">
        <v>3311</v>
      </c>
      <c r="D315" t="s">
        <v>3053</v>
      </c>
      <c r="E315" s="249" t="s">
        <v>3045</v>
      </c>
      <c r="F315">
        <v>313</v>
      </c>
    </row>
    <row r="316" spans="1:6" x14ac:dyDescent="0.25">
      <c r="A316" t="s">
        <v>1163</v>
      </c>
      <c r="B316" s="248">
        <v>2573</v>
      </c>
      <c r="C316" t="s">
        <v>3312</v>
      </c>
      <c r="D316" t="s">
        <v>3053</v>
      </c>
      <c r="E316" s="249" t="s">
        <v>3046</v>
      </c>
      <c r="F316">
        <v>314</v>
      </c>
    </row>
    <row r="317" spans="1:6" x14ac:dyDescent="0.25">
      <c r="A317" t="s">
        <v>1212</v>
      </c>
      <c r="B317" s="248">
        <v>2573</v>
      </c>
      <c r="C317" t="s">
        <v>3313</v>
      </c>
      <c r="D317" t="s">
        <v>3053</v>
      </c>
      <c r="E317" s="249" t="s">
        <v>3046</v>
      </c>
      <c r="F317">
        <v>315</v>
      </c>
    </row>
    <row r="318" spans="1:6" x14ac:dyDescent="0.25">
      <c r="A318" t="s">
        <v>954</v>
      </c>
      <c r="B318" s="248">
        <v>1690</v>
      </c>
      <c r="C318" t="s">
        <v>3314</v>
      </c>
      <c r="D318" t="s">
        <v>3053</v>
      </c>
      <c r="E318" s="249" t="s">
        <v>3045</v>
      </c>
      <c r="F318">
        <v>316</v>
      </c>
    </row>
    <row r="319" spans="1:6" x14ac:dyDescent="0.25">
      <c r="A319" t="s">
        <v>996</v>
      </c>
      <c r="B319" s="248">
        <v>1690</v>
      </c>
      <c r="C319" t="s">
        <v>3315</v>
      </c>
      <c r="D319" t="s">
        <v>3053</v>
      </c>
      <c r="E319" s="249" t="s">
        <v>3045</v>
      </c>
      <c r="F319">
        <v>317</v>
      </c>
    </row>
    <row r="320" spans="1:6" x14ac:dyDescent="0.25">
      <c r="A320" t="s">
        <v>1239</v>
      </c>
      <c r="B320" s="248">
        <v>3486</v>
      </c>
      <c r="C320" t="s">
        <v>3316</v>
      </c>
      <c r="D320" t="s">
        <v>3053</v>
      </c>
      <c r="E320" s="249" t="s">
        <v>3046</v>
      </c>
      <c r="F320">
        <v>318</v>
      </c>
    </row>
    <row r="321" spans="1:6" x14ac:dyDescent="0.25">
      <c r="A321" t="s">
        <v>1888</v>
      </c>
      <c r="B321" s="248">
        <v>7290</v>
      </c>
      <c r="C321" t="s">
        <v>3317</v>
      </c>
      <c r="D321" t="s">
        <v>3053</v>
      </c>
      <c r="E321" s="249" t="s">
        <v>3001</v>
      </c>
      <c r="F321">
        <v>319</v>
      </c>
    </row>
    <row r="322" spans="1:6" x14ac:dyDescent="0.25">
      <c r="A322" t="s">
        <v>5787</v>
      </c>
      <c r="B322" s="248">
        <v>4352</v>
      </c>
      <c r="C322" t="s">
        <v>5971</v>
      </c>
      <c r="D322" t="s">
        <v>3053</v>
      </c>
      <c r="E322" s="249" t="s">
        <v>3045</v>
      </c>
      <c r="F322">
        <v>320</v>
      </c>
    </row>
    <row r="323" spans="1:6" x14ac:dyDescent="0.25">
      <c r="A323" t="s">
        <v>5809</v>
      </c>
      <c r="B323" s="248">
        <v>6758</v>
      </c>
      <c r="C323" t="s">
        <v>5980</v>
      </c>
      <c r="D323" t="s">
        <v>3053</v>
      </c>
      <c r="E323" s="249" t="s">
        <v>3046</v>
      </c>
      <c r="F323">
        <v>321</v>
      </c>
    </row>
    <row r="324" spans="1:6" x14ac:dyDescent="0.25">
      <c r="A324" t="s">
        <v>5797</v>
      </c>
      <c r="B324" s="248">
        <v>4751</v>
      </c>
      <c r="C324" t="s">
        <v>5976</v>
      </c>
      <c r="D324" t="s">
        <v>3053</v>
      </c>
      <c r="E324" s="249" t="s">
        <v>3045</v>
      </c>
      <c r="F324">
        <v>322</v>
      </c>
    </row>
    <row r="325" spans="1:6" x14ac:dyDescent="0.25">
      <c r="A325" t="s">
        <v>2583</v>
      </c>
      <c r="B325" s="248">
        <v>611.5</v>
      </c>
      <c r="C325" t="s">
        <v>3318</v>
      </c>
      <c r="D325" t="s">
        <v>3056</v>
      </c>
      <c r="E325" s="249" t="s">
        <v>3028</v>
      </c>
      <c r="F325">
        <v>323</v>
      </c>
    </row>
    <row r="326" spans="1:6" x14ac:dyDescent="0.25">
      <c r="A326" t="s">
        <v>2069</v>
      </c>
      <c r="B326" s="248">
        <v>1717</v>
      </c>
      <c r="C326" t="s">
        <v>3319</v>
      </c>
      <c r="D326" t="s">
        <v>3053</v>
      </c>
      <c r="E326" s="249" t="s">
        <v>3013</v>
      </c>
      <c r="F326">
        <v>324</v>
      </c>
    </row>
    <row r="327" spans="1:6" x14ac:dyDescent="0.25">
      <c r="A327" t="s">
        <v>2100</v>
      </c>
      <c r="B327" s="248">
        <v>683.5</v>
      </c>
      <c r="C327" t="s">
        <v>3320</v>
      </c>
      <c r="D327" t="s">
        <v>3053</v>
      </c>
      <c r="E327" s="249" t="s">
        <v>3016</v>
      </c>
      <c r="F327">
        <v>325</v>
      </c>
    </row>
    <row r="328" spans="1:6" x14ac:dyDescent="0.25">
      <c r="A328" t="s">
        <v>2222</v>
      </c>
      <c r="B328" s="248">
        <v>771</v>
      </c>
      <c r="C328" t="s">
        <v>3321</v>
      </c>
      <c r="D328" t="s">
        <v>3053</v>
      </c>
      <c r="E328" s="249" t="s">
        <v>3016</v>
      </c>
      <c r="F328">
        <v>326</v>
      </c>
    </row>
    <row r="329" spans="1:6" x14ac:dyDescent="0.25">
      <c r="A329" t="s">
        <v>2103</v>
      </c>
      <c r="B329" s="248">
        <v>898</v>
      </c>
      <c r="C329" t="s">
        <v>3322</v>
      </c>
      <c r="D329" t="s">
        <v>3053</v>
      </c>
      <c r="E329" s="249" t="s">
        <v>3016</v>
      </c>
      <c r="F329">
        <v>327</v>
      </c>
    </row>
    <row r="330" spans="1:6" x14ac:dyDescent="0.25">
      <c r="A330" t="s">
        <v>2964</v>
      </c>
      <c r="B330" s="248">
        <v>83.25</v>
      </c>
      <c r="C330" t="s">
        <v>3323</v>
      </c>
      <c r="D330" t="s">
        <v>3204</v>
      </c>
      <c r="E330" s="249" t="s">
        <v>3020</v>
      </c>
      <c r="F330">
        <v>328</v>
      </c>
    </row>
    <row r="331" spans="1:6" x14ac:dyDescent="0.25">
      <c r="A331" t="s">
        <v>1975</v>
      </c>
      <c r="B331" s="248">
        <v>291.5</v>
      </c>
      <c r="C331" t="s">
        <v>3324</v>
      </c>
      <c r="D331" t="s">
        <v>3204</v>
      </c>
      <c r="E331" s="249" t="s">
        <v>3001</v>
      </c>
      <c r="F331">
        <v>329</v>
      </c>
    </row>
    <row r="332" spans="1:6" x14ac:dyDescent="0.25">
      <c r="A332" t="s">
        <v>2977</v>
      </c>
      <c r="B332" s="248">
        <v>83.25</v>
      </c>
      <c r="C332" t="s">
        <v>3325</v>
      </c>
      <c r="D332" t="s">
        <v>3204</v>
      </c>
      <c r="E332" s="249" t="s">
        <v>3020</v>
      </c>
      <c r="F332">
        <v>330</v>
      </c>
    </row>
    <row r="333" spans="1:6" x14ac:dyDescent="0.25">
      <c r="A333" t="s">
        <v>2625</v>
      </c>
      <c r="B333" s="248">
        <v>868.5</v>
      </c>
      <c r="C333" t="s">
        <v>3326</v>
      </c>
      <c r="D333" t="s">
        <v>3056</v>
      </c>
      <c r="E333" s="249" t="s">
        <v>3028</v>
      </c>
      <c r="F333">
        <v>331</v>
      </c>
    </row>
    <row r="334" spans="1:6" x14ac:dyDescent="0.25">
      <c r="A334" t="s">
        <v>2654</v>
      </c>
      <c r="B334" s="248">
        <v>5648</v>
      </c>
      <c r="C334" t="s">
        <v>3327</v>
      </c>
      <c r="D334" t="s">
        <v>3056</v>
      </c>
      <c r="E334" s="249" t="s">
        <v>3028</v>
      </c>
      <c r="F334">
        <v>332</v>
      </c>
    </row>
    <row r="335" spans="1:6" x14ac:dyDescent="0.25">
      <c r="A335" t="s">
        <v>2636</v>
      </c>
      <c r="B335" s="248">
        <v>2817</v>
      </c>
      <c r="C335" t="s">
        <v>3328</v>
      </c>
      <c r="D335" t="s">
        <v>3056</v>
      </c>
      <c r="E335" s="249" t="s">
        <v>3028</v>
      </c>
      <c r="F335">
        <v>333</v>
      </c>
    </row>
    <row r="336" spans="1:6" x14ac:dyDescent="0.25">
      <c r="A336" t="s">
        <v>2646</v>
      </c>
      <c r="B336" s="248">
        <v>3926</v>
      </c>
      <c r="C336" t="s">
        <v>3329</v>
      </c>
      <c r="D336" t="s">
        <v>3056</v>
      </c>
      <c r="E336" s="249" t="s">
        <v>3028</v>
      </c>
      <c r="F336">
        <v>334</v>
      </c>
    </row>
    <row r="337" spans="1:6" x14ac:dyDescent="0.25">
      <c r="A337" t="s">
        <v>2718</v>
      </c>
      <c r="B337" s="248">
        <v>1898</v>
      </c>
      <c r="C337" t="s">
        <v>3330</v>
      </c>
      <c r="D337" t="s">
        <v>3056</v>
      </c>
      <c r="E337" s="249" t="s">
        <v>3028</v>
      </c>
      <c r="F337">
        <v>335</v>
      </c>
    </row>
    <row r="338" spans="1:6" x14ac:dyDescent="0.25">
      <c r="A338" t="s">
        <v>2728</v>
      </c>
      <c r="B338" s="248">
        <v>3848</v>
      </c>
      <c r="C338" t="s">
        <v>3331</v>
      </c>
      <c r="D338" t="s">
        <v>3056</v>
      </c>
      <c r="E338" s="249" t="s">
        <v>3028</v>
      </c>
      <c r="F338">
        <v>336</v>
      </c>
    </row>
    <row r="339" spans="1:6" x14ac:dyDescent="0.25">
      <c r="A339" t="s">
        <v>2739</v>
      </c>
      <c r="B339" s="248">
        <v>6114</v>
      </c>
      <c r="C339" t="s">
        <v>3332</v>
      </c>
      <c r="D339" t="s">
        <v>3056</v>
      </c>
      <c r="E339" s="249" t="s">
        <v>3028</v>
      </c>
      <c r="F339">
        <v>337</v>
      </c>
    </row>
    <row r="340" spans="1:6" x14ac:dyDescent="0.25">
      <c r="A340" t="s">
        <v>2664</v>
      </c>
      <c r="B340" s="248">
        <v>1369</v>
      </c>
      <c r="C340" t="s">
        <v>3333</v>
      </c>
      <c r="D340" t="s">
        <v>3056</v>
      </c>
      <c r="E340" s="249" t="s">
        <v>3028</v>
      </c>
      <c r="F340">
        <v>338</v>
      </c>
    </row>
    <row r="341" spans="1:6" x14ac:dyDescent="0.25">
      <c r="A341" t="s">
        <v>2679</v>
      </c>
      <c r="B341" s="248">
        <v>2942</v>
      </c>
      <c r="C341" t="s">
        <v>3334</v>
      </c>
      <c r="D341" t="s">
        <v>3056</v>
      </c>
      <c r="E341" s="249" t="s">
        <v>3028</v>
      </c>
      <c r="F341">
        <v>339</v>
      </c>
    </row>
    <row r="342" spans="1:6" x14ac:dyDescent="0.25">
      <c r="A342" t="s">
        <v>2692</v>
      </c>
      <c r="B342" s="248">
        <v>4864</v>
      </c>
      <c r="C342" t="s">
        <v>3335</v>
      </c>
      <c r="D342" t="s">
        <v>3056</v>
      </c>
      <c r="E342" s="249" t="s">
        <v>3028</v>
      </c>
      <c r="F342">
        <v>340</v>
      </c>
    </row>
    <row r="343" spans="1:6" x14ac:dyDescent="0.25">
      <c r="A343" t="s">
        <v>2746</v>
      </c>
      <c r="B343" s="248">
        <v>2541</v>
      </c>
      <c r="C343" t="s">
        <v>3336</v>
      </c>
      <c r="D343" t="s">
        <v>3056</v>
      </c>
      <c r="E343" s="249" t="s">
        <v>3028</v>
      </c>
      <c r="F343">
        <v>341</v>
      </c>
    </row>
    <row r="344" spans="1:6" x14ac:dyDescent="0.25">
      <c r="A344" t="s">
        <v>2872</v>
      </c>
      <c r="B344" s="248">
        <v>7740</v>
      </c>
      <c r="C344" t="s">
        <v>3337</v>
      </c>
      <c r="D344" t="s">
        <v>3056</v>
      </c>
      <c r="E344" s="249" t="s">
        <v>3028</v>
      </c>
      <c r="F344">
        <v>342</v>
      </c>
    </row>
    <row r="345" spans="1:6" x14ac:dyDescent="0.25">
      <c r="A345" t="s">
        <v>81</v>
      </c>
      <c r="B345" s="248">
        <v>439.5</v>
      </c>
      <c r="C345" t="s">
        <v>3338</v>
      </c>
      <c r="D345" t="s">
        <v>3053</v>
      </c>
      <c r="E345" s="249" t="s">
        <v>3043</v>
      </c>
      <c r="F345">
        <v>343</v>
      </c>
    </row>
    <row r="346" spans="1:6" x14ac:dyDescent="0.25">
      <c r="A346" t="s">
        <v>1292</v>
      </c>
      <c r="B346" s="248">
        <v>1131</v>
      </c>
      <c r="C346" t="s">
        <v>3339</v>
      </c>
      <c r="D346" t="s">
        <v>3053</v>
      </c>
      <c r="E346" s="249" t="s">
        <v>3047</v>
      </c>
      <c r="F346">
        <v>344</v>
      </c>
    </row>
    <row r="347" spans="1:6" x14ac:dyDescent="0.25">
      <c r="A347" t="s">
        <v>1639</v>
      </c>
      <c r="B347" s="248">
        <v>2616</v>
      </c>
      <c r="C347" t="s">
        <v>3340</v>
      </c>
      <c r="D347" t="s">
        <v>3053</v>
      </c>
      <c r="E347" s="249" t="s">
        <v>3048</v>
      </c>
      <c r="F347">
        <v>345</v>
      </c>
    </row>
    <row r="348" spans="1:6" x14ac:dyDescent="0.25">
      <c r="A348" t="s">
        <v>1381</v>
      </c>
      <c r="B348" s="248">
        <v>1521</v>
      </c>
      <c r="C348" t="s">
        <v>3341</v>
      </c>
      <c r="D348" t="s">
        <v>3053</v>
      </c>
      <c r="E348" s="249" t="s">
        <v>3047</v>
      </c>
      <c r="F348">
        <v>346</v>
      </c>
    </row>
    <row r="349" spans="1:6" x14ac:dyDescent="0.25">
      <c r="A349" t="s">
        <v>1653</v>
      </c>
      <c r="B349" s="248">
        <v>4212</v>
      </c>
      <c r="C349" t="s">
        <v>3342</v>
      </c>
      <c r="D349" t="s">
        <v>3053</v>
      </c>
      <c r="E349" s="249" t="s">
        <v>3048</v>
      </c>
      <c r="F349">
        <v>347</v>
      </c>
    </row>
    <row r="350" spans="1:6" x14ac:dyDescent="0.25">
      <c r="A350" t="s">
        <v>1841</v>
      </c>
      <c r="B350" s="248">
        <v>6342</v>
      </c>
      <c r="C350" t="s">
        <v>3343</v>
      </c>
      <c r="D350" t="s">
        <v>3053</v>
      </c>
      <c r="E350" s="249" t="s">
        <v>3049</v>
      </c>
      <c r="F350">
        <v>348</v>
      </c>
    </row>
    <row r="351" spans="1:6" x14ac:dyDescent="0.25">
      <c r="A351" t="s">
        <v>1807</v>
      </c>
      <c r="B351" s="248">
        <v>3899</v>
      </c>
      <c r="C351" t="s">
        <v>3344</v>
      </c>
      <c r="D351" t="s">
        <v>3053</v>
      </c>
      <c r="E351" s="249" t="s">
        <v>3049</v>
      </c>
      <c r="F351">
        <v>349</v>
      </c>
    </row>
    <row r="352" spans="1:6" x14ac:dyDescent="0.25">
      <c r="A352" t="s">
        <v>1464</v>
      </c>
      <c r="B352" s="248">
        <v>943.5</v>
      </c>
      <c r="C352" t="s">
        <v>3345</v>
      </c>
      <c r="D352" t="s">
        <v>3053</v>
      </c>
      <c r="E352" s="249" t="s">
        <v>3047</v>
      </c>
      <c r="F352">
        <v>350</v>
      </c>
    </row>
    <row r="353" spans="1:6" x14ac:dyDescent="0.25">
      <c r="A353" t="s">
        <v>1487</v>
      </c>
      <c r="B353" s="248">
        <v>900.5</v>
      </c>
      <c r="C353" t="s">
        <v>3346</v>
      </c>
      <c r="D353" t="s">
        <v>3053</v>
      </c>
      <c r="E353" s="249" t="s">
        <v>3047</v>
      </c>
      <c r="F353">
        <v>351</v>
      </c>
    </row>
    <row r="354" spans="1:6" x14ac:dyDescent="0.25">
      <c r="A354" t="s">
        <v>1562</v>
      </c>
      <c r="B354" s="248">
        <v>844.5</v>
      </c>
      <c r="C354" t="s">
        <v>3347</v>
      </c>
      <c r="D354" t="s">
        <v>3053</v>
      </c>
      <c r="E354" s="249" t="s">
        <v>3047</v>
      </c>
      <c r="F354">
        <v>352</v>
      </c>
    </row>
    <row r="355" spans="1:6" x14ac:dyDescent="0.25">
      <c r="A355" t="s">
        <v>1586</v>
      </c>
      <c r="B355" s="248">
        <v>806</v>
      </c>
      <c r="C355" t="s">
        <v>3348</v>
      </c>
      <c r="D355" t="s">
        <v>3053</v>
      </c>
      <c r="E355" s="249" t="s">
        <v>3047</v>
      </c>
      <c r="F355">
        <v>353</v>
      </c>
    </row>
    <row r="356" spans="1:6" x14ac:dyDescent="0.25">
      <c r="A356" t="s">
        <v>1702</v>
      </c>
      <c r="B356" s="248">
        <v>2568</v>
      </c>
      <c r="C356" t="s">
        <v>3349</v>
      </c>
      <c r="D356" t="s">
        <v>3053</v>
      </c>
      <c r="E356" s="249" t="s">
        <v>3048</v>
      </c>
      <c r="F356">
        <v>354</v>
      </c>
    </row>
    <row r="357" spans="1:6" x14ac:dyDescent="0.25">
      <c r="A357" t="s">
        <v>1723</v>
      </c>
      <c r="B357" s="248">
        <v>2405</v>
      </c>
      <c r="C357" t="s">
        <v>3350</v>
      </c>
      <c r="D357" t="s">
        <v>3053</v>
      </c>
      <c r="E357" s="249" t="s">
        <v>3048</v>
      </c>
      <c r="F357">
        <v>355</v>
      </c>
    </row>
    <row r="358" spans="1:6" x14ac:dyDescent="0.25">
      <c r="A358" t="s">
        <v>1869</v>
      </c>
      <c r="B358" s="248">
        <v>4427</v>
      </c>
      <c r="C358" t="s">
        <v>3351</v>
      </c>
      <c r="D358" t="s">
        <v>3053</v>
      </c>
      <c r="E358" s="249" t="s">
        <v>3049</v>
      </c>
      <c r="F358">
        <v>356</v>
      </c>
    </row>
    <row r="359" spans="1:6" x14ac:dyDescent="0.25">
      <c r="A359" t="s">
        <v>1775</v>
      </c>
      <c r="B359" s="248">
        <v>3590</v>
      </c>
      <c r="C359" t="s">
        <v>3352</v>
      </c>
      <c r="D359" t="s">
        <v>3053</v>
      </c>
      <c r="E359" s="249" t="s">
        <v>3048</v>
      </c>
      <c r="F359">
        <v>357</v>
      </c>
    </row>
    <row r="360" spans="1:6" x14ac:dyDescent="0.25">
      <c r="A360" t="s">
        <v>200</v>
      </c>
      <c r="B360" s="248">
        <v>3389</v>
      </c>
      <c r="C360" t="s">
        <v>3353</v>
      </c>
      <c r="D360" t="s">
        <v>3053</v>
      </c>
      <c r="E360" s="249" t="s">
        <v>3043</v>
      </c>
      <c r="F360">
        <v>358</v>
      </c>
    </row>
    <row r="361" spans="1:6" x14ac:dyDescent="0.25">
      <c r="A361" t="s">
        <v>2300</v>
      </c>
      <c r="B361" s="248">
        <v>440.5</v>
      </c>
      <c r="C361" t="s">
        <v>3354</v>
      </c>
      <c r="D361" t="s">
        <v>3241</v>
      </c>
      <c r="E361" s="249" t="s">
        <v>3020</v>
      </c>
      <c r="F361">
        <v>359</v>
      </c>
    </row>
    <row r="362" spans="1:6" x14ac:dyDescent="0.25">
      <c r="A362" t="s">
        <v>2316</v>
      </c>
      <c r="B362" s="248">
        <v>748.5</v>
      </c>
      <c r="C362" t="s">
        <v>3355</v>
      </c>
      <c r="D362" t="s">
        <v>3241</v>
      </c>
      <c r="E362" s="249" t="s">
        <v>3020</v>
      </c>
      <c r="F362">
        <v>360</v>
      </c>
    </row>
    <row r="363" spans="1:6" x14ac:dyDescent="0.25">
      <c r="A363" t="s">
        <v>2364</v>
      </c>
      <c r="B363" s="248">
        <v>1894</v>
      </c>
      <c r="C363" t="s">
        <v>3356</v>
      </c>
      <c r="D363" t="s">
        <v>3241</v>
      </c>
      <c r="E363" s="249" t="s">
        <v>3020</v>
      </c>
      <c r="F363">
        <v>361</v>
      </c>
    </row>
    <row r="364" spans="1:6" x14ac:dyDescent="0.25">
      <c r="A364" t="s">
        <v>2382</v>
      </c>
      <c r="B364" s="248">
        <v>2184</v>
      </c>
      <c r="C364" t="s">
        <v>3357</v>
      </c>
      <c r="D364" t="s">
        <v>3241</v>
      </c>
      <c r="E364" s="249" t="s">
        <v>3020</v>
      </c>
      <c r="F364">
        <v>362</v>
      </c>
    </row>
    <row r="365" spans="1:6" x14ac:dyDescent="0.25">
      <c r="A365" t="s">
        <v>2347</v>
      </c>
      <c r="B365" s="248">
        <v>776.5</v>
      </c>
      <c r="C365" t="s">
        <v>3358</v>
      </c>
      <c r="D365" t="s">
        <v>3241</v>
      </c>
      <c r="E365" s="249" t="s">
        <v>3020</v>
      </c>
      <c r="F365">
        <v>363</v>
      </c>
    </row>
    <row r="366" spans="1:6" x14ac:dyDescent="0.25">
      <c r="A366" t="s">
        <v>2240</v>
      </c>
      <c r="B366" s="248">
        <v>1479</v>
      </c>
      <c r="C366" t="s">
        <v>3359</v>
      </c>
      <c r="D366" t="s">
        <v>3246</v>
      </c>
      <c r="E366" s="249" t="s">
        <v>3018</v>
      </c>
      <c r="F366">
        <v>364</v>
      </c>
    </row>
    <row r="367" spans="1:6" x14ac:dyDescent="0.25">
      <c r="A367" t="s">
        <v>2267</v>
      </c>
      <c r="B367" s="248">
        <v>2776</v>
      </c>
      <c r="C367" t="s">
        <v>3360</v>
      </c>
      <c r="D367" t="s">
        <v>3246</v>
      </c>
      <c r="E367" s="249" t="s">
        <v>3018</v>
      </c>
      <c r="F367">
        <v>365</v>
      </c>
    </row>
    <row r="368" spans="1:6" x14ac:dyDescent="0.25">
      <c r="A368" t="s">
        <v>2281</v>
      </c>
      <c r="B368" s="248">
        <v>2776</v>
      </c>
      <c r="C368" t="s">
        <v>3361</v>
      </c>
      <c r="D368" t="s">
        <v>3246</v>
      </c>
      <c r="E368" s="249" t="s">
        <v>3018</v>
      </c>
      <c r="F368">
        <v>366</v>
      </c>
    </row>
    <row r="369" spans="1:6" x14ac:dyDescent="0.25">
      <c r="A369" t="s">
        <v>2413</v>
      </c>
      <c r="B369" s="248">
        <v>1989</v>
      </c>
      <c r="C369" t="s">
        <v>3362</v>
      </c>
      <c r="D369" t="s">
        <v>3241</v>
      </c>
      <c r="E369" s="249" t="s">
        <v>3020</v>
      </c>
      <c r="F369">
        <v>367</v>
      </c>
    </row>
    <row r="370" spans="1:6" x14ac:dyDescent="0.25">
      <c r="A370" t="s">
        <v>2437</v>
      </c>
      <c r="B370" s="248">
        <v>984</v>
      </c>
      <c r="C370" t="s">
        <v>3363</v>
      </c>
      <c r="D370" t="s">
        <v>3053</v>
      </c>
      <c r="E370" s="249" t="s">
        <v>3020</v>
      </c>
      <c r="F370">
        <v>368</v>
      </c>
    </row>
    <row r="371" spans="1:6" x14ac:dyDescent="0.25">
      <c r="A371" t="s">
        <v>2424</v>
      </c>
      <c r="B371" s="248">
        <v>2295</v>
      </c>
      <c r="C371" t="s">
        <v>3364</v>
      </c>
      <c r="D371" t="s">
        <v>3241</v>
      </c>
      <c r="E371" s="249" t="s">
        <v>3020</v>
      </c>
      <c r="F371">
        <v>369</v>
      </c>
    </row>
    <row r="372" spans="1:6" x14ac:dyDescent="0.25">
      <c r="A372" t="s">
        <v>381</v>
      </c>
      <c r="B372" s="248">
        <v>657</v>
      </c>
      <c r="C372" t="s">
        <v>3365</v>
      </c>
      <c r="D372" t="s">
        <v>3053</v>
      </c>
      <c r="E372" s="249" t="s">
        <v>3043</v>
      </c>
      <c r="F372">
        <v>370</v>
      </c>
    </row>
    <row r="373" spans="1:6" x14ac:dyDescent="0.25">
      <c r="A373" t="s">
        <v>235</v>
      </c>
      <c r="B373" s="248">
        <v>434.5</v>
      </c>
      <c r="C373" t="s">
        <v>3366</v>
      </c>
      <c r="D373" t="s">
        <v>3053</v>
      </c>
      <c r="E373" s="249" t="s">
        <v>3043</v>
      </c>
      <c r="F373">
        <v>371</v>
      </c>
    </row>
    <row r="374" spans="1:6" x14ac:dyDescent="0.25">
      <c r="A374" t="s">
        <v>474</v>
      </c>
      <c r="B374" s="248">
        <v>662.5</v>
      </c>
      <c r="C374" t="s">
        <v>3367</v>
      </c>
      <c r="D374" t="s">
        <v>3053</v>
      </c>
      <c r="E374" s="249" t="s">
        <v>3043</v>
      </c>
      <c r="F374">
        <v>372</v>
      </c>
    </row>
    <row r="375" spans="1:6" x14ac:dyDescent="0.25">
      <c r="A375" t="s">
        <v>1036</v>
      </c>
      <c r="B375" s="248">
        <v>4544</v>
      </c>
      <c r="C375" t="s">
        <v>3368</v>
      </c>
      <c r="D375" t="s">
        <v>3053</v>
      </c>
      <c r="E375" s="249" t="s">
        <v>3045</v>
      </c>
      <c r="F375">
        <v>373</v>
      </c>
    </row>
    <row r="376" spans="1:6" x14ac:dyDescent="0.25">
      <c r="A376" t="s">
        <v>5920</v>
      </c>
      <c r="B376" s="248">
        <v>13575</v>
      </c>
      <c r="C376" t="s">
        <v>5991</v>
      </c>
      <c r="D376" t="s">
        <v>3053</v>
      </c>
      <c r="E376" s="249" t="s">
        <v>3046</v>
      </c>
      <c r="F376">
        <v>374</v>
      </c>
    </row>
    <row r="377" spans="1:6" x14ac:dyDescent="0.25">
      <c r="A377" t="s">
        <v>861</v>
      </c>
      <c r="B377" s="248">
        <v>1341</v>
      </c>
      <c r="C377" t="s">
        <v>3369</v>
      </c>
      <c r="D377" t="s">
        <v>3053</v>
      </c>
      <c r="E377" s="249" t="s">
        <v>3045</v>
      </c>
      <c r="F377">
        <v>375</v>
      </c>
    </row>
    <row r="378" spans="1:6" x14ac:dyDescent="0.25">
      <c r="A378" t="s">
        <v>911</v>
      </c>
      <c r="B378" s="248">
        <v>1610</v>
      </c>
      <c r="C378" t="s">
        <v>3370</v>
      </c>
      <c r="D378" t="s">
        <v>3053</v>
      </c>
      <c r="E378" s="249" t="s">
        <v>3045</v>
      </c>
      <c r="F378">
        <v>376</v>
      </c>
    </row>
    <row r="379" spans="1:6" x14ac:dyDescent="0.25">
      <c r="A379" t="s">
        <v>1167</v>
      </c>
      <c r="B379" s="248">
        <v>3336</v>
      </c>
      <c r="C379" t="s">
        <v>3371</v>
      </c>
      <c r="D379" t="s">
        <v>3053</v>
      </c>
      <c r="E379" s="249" t="s">
        <v>3046</v>
      </c>
      <c r="F379">
        <v>377</v>
      </c>
    </row>
    <row r="380" spans="1:6" x14ac:dyDescent="0.25">
      <c r="A380" t="s">
        <v>1213</v>
      </c>
      <c r="B380" s="248">
        <v>3336</v>
      </c>
      <c r="C380" t="s">
        <v>3372</v>
      </c>
      <c r="D380" t="s">
        <v>3053</v>
      </c>
      <c r="E380" s="249" t="s">
        <v>3046</v>
      </c>
      <c r="F380">
        <v>378</v>
      </c>
    </row>
    <row r="381" spans="1:6" x14ac:dyDescent="0.25">
      <c r="A381" t="s">
        <v>957</v>
      </c>
      <c r="B381" s="248">
        <v>1738</v>
      </c>
      <c r="C381" t="s">
        <v>3373</v>
      </c>
      <c r="D381" t="s">
        <v>3053</v>
      </c>
      <c r="E381" s="249" t="s">
        <v>3045</v>
      </c>
      <c r="F381">
        <v>379</v>
      </c>
    </row>
    <row r="382" spans="1:6" x14ac:dyDescent="0.25">
      <c r="A382" t="s">
        <v>997</v>
      </c>
      <c r="B382" s="248">
        <v>1738</v>
      </c>
      <c r="C382" t="s">
        <v>3374</v>
      </c>
      <c r="D382" t="s">
        <v>3053</v>
      </c>
      <c r="E382" s="249" t="s">
        <v>3045</v>
      </c>
      <c r="F382">
        <v>380</v>
      </c>
    </row>
    <row r="383" spans="1:6" x14ac:dyDescent="0.25">
      <c r="A383" t="s">
        <v>1242</v>
      </c>
      <c r="B383" s="248">
        <v>3665</v>
      </c>
      <c r="C383" t="s">
        <v>3375</v>
      </c>
      <c r="D383" t="s">
        <v>3053</v>
      </c>
      <c r="E383" s="249" t="s">
        <v>3046</v>
      </c>
      <c r="F383">
        <v>381</v>
      </c>
    </row>
    <row r="384" spans="1:6" x14ac:dyDescent="0.25">
      <c r="A384" t="s">
        <v>1889</v>
      </c>
      <c r="B384" s="248">
        <v>7942</v>
      </c>
      <c r="C384" t="s">
        <v>3376</v>
      </c>
      <c r="D384" t="s">
        <v>3053</v>
      </c>
      <c r="E384" s="249" t="s">
        <v>3001</v>
      </c>
      <c r="F384">
        <v>382</v>
      </c>
    </row>
    <row r="385" spans="1:6" x14ac:dyDescent="0.25">
      <c r="A385" t="s">
        <v>5788</v>
      </c>
      <c r="B385" s="248">
        <v>4751</v>
      </c>
      <c r="C385" t="s">
        <v>5977</v>
      </c>
      <c r="D385" t="s">
        <v>3053</v>
      </c>
      <c r="E385" s="249" t="s">
        <v>3045</v>
      </c>
      <c r="F385">
        <v>383</v>
      </c>
    </row>
    <row r="386" spans="1:6" x14ac:dyDescent="0.25">
      <c r="A386" t="s">
        <v>5810</v>
      </c>
      <c r="B386" s="248">
        <v>7304</v>
      </c>
      <c r="C386" t="s">
        <v>5984</v>
      </c>
      <c r="D386" t="s">
        <v>3053</v>
      </c>
      <c r="E386" s="249" t="s">
        <v>3046</v>
      </c>
      <c r="F386">
        <v>384</v>
      </c>
    </row>
    <row r="387" spans="1:6" x14ac:dyDescent="0.25">
      <c r="A387" t="s">
        <v>5798</v>
      </c>
      <c r="B387" s="248">
        <v>5296</v>
      </c>
      <c r="C387" t="s">
        <v>5978</v>
      </c>
      <c r="D387" t="s">
        <v>3053</v>
      </c>
      <c r="E387" s="249" t="s">
        <v>3045</v>
      </c>
      <c r="F387">
        <v>385</v>
      </c>
    </row>
    <row r="388" spans="1:6" x14ac:dyDescent="0.25">
      <c r="A388" t="s">
        <v>5819</v>
      </c>
      <c r="B388" s="248">
        <v>7304</v>
      </c>
      <c r="C388" t="s">
        <v>5985</v>
      </c>
      <c r="D388" t="s">
        <v>3053</v>
      </c>
      <c r="E388" s="249" t="s">
        <v>3046</v>
      </c>
      <c r="F388">
        <v>386</v>
      </c>
    </row>
    <row r="389" spans="1:6" x14ac:dyDescent="0.25">
      <c r="A389" t="s">
        <v>2584</v>
      </c>
      <c r="B389" s="248">
        <v>651</v>
      </c>
      <c r="C389" t="s">
        <v>3377</v>
      </c>
      <c r="D389" t="s">
        <v>3056</v>
      </c>
      <c r="E389" s="249" t="s">
        <v>3028</v>
      </c>
      <c r="F389">
        <v>387</v>
      </c>
    </row>
    <row r="390" spans="1:6" x14ac:dyDescent="0.25">
      <c r="A390" t="s">
        <v>2070</v>
      </c>
      <c r="B390" s="248">
        <v>1831</v>
      </c>
      <c r="C390" t="s">
        <v>3378</v>
      </c>
      <c r="D390" t="s">
        <v>3053</v>
      </c>
      <c r="E390" s="249" t="s">
        <v>3013</v>
      </c>
      <c r="F390">
        <v>388</v>
      </c>
    </row>
    <row r="391" spans="1:6" x14ac:dyDescent="0.25">
      <c r="A391" t="s">
        <v>2106</v>
      </c>
      <c r="B391" s="248">
        <v>946.5</v>
      </c>
      <c r="C391" t="s">
        <v>3379</v>
      </c>
      <c r="D391" t="s">
        <v>3053</v>
      </c>
      <c r="E391" s="249" t="s">
        <v>3016</v>
      </c>
      <c r="F391">
        <v>389</v>
      </c>
    </row>
    <row r="392" spans="1:6" x14ac:dyDescent="0.25">
      <c r="A392" t="s">
        <v>2223</v>
      </c>
      <c r="B392" s="248">
        <v>1015</v>
      </c>
      <c r="C392" t="s">
        <v>3380</v>
      </c>
      <c r="D392" t="s">
        <v>3053</v>
      </c>
      <c r="E392" s="249" t="s">
        <v>3016</v>
      </c>
      <c r="F392">
        <v>390</v>
      </c>
    </row>
    <row r="393" spans="1:6" x14ac:dyDescent="0.25">
      <c r="A393" t="s">
        <v>2180</v>
      </c>
      <c r="B393" s="248">
        <v>1571</v>
      </c>
      <c r="C393" t="s">
        <v>3381</v>
      </c>
      <c r="D393" t="s">
        <v>3053</v>
      </c>
      <c r="E393" s="249" t="s">
        <v>3016</v>
      </c>
      <c r="F393">
        <v>391</v>
      </c>
    </row>
    <row r="394" spans="1:6" x14ac:dyDescent="0.25">
      <c r="A394" t="s">
        <v>2109</v>
      </c>
      <c r="B394" s="248">
        <v>982</v>
      </c>
      <c r="C394" t="s">
        <v>3382</v>
      </c>
      <c r="D394" t="s">
        <v>3053</v>
      </c>
      <c r="E394" s="249" t="s">
        <v>3016</v>
      </c>
      <c r="F394">
        <v>392</v>
      </c>
    </row>
    <row r="395" spans="1:6" x14ac:dyDescent="0.25">
      <c r="A395" t="s">
        <v>2112</v>
      </c>
      <c r="B395" s="248">
        <v>1061</v>
      </c>
      <c r="C395" t="s">
        <v>3383</v>
      </c>
      <c r="D395" t="s">
        <v>3053</v>
      </c>
      <c r="E395" s="249" t="s">
        <v>3016</v>
      </c>
      <c r="F395">
        <v>393</v>
      </c>
    </row>
    <row r="396" spans="1:6" x14ac:dyDescent="0.25">
      <c r="A396" t="s">
        <v>2225</v>
      </c>
      <c r="B396" s="248">
        <v>1142</v>
      </c>
      <c r="C396" t="s">
        <v>3384</v>
      </c>
      <c r="D396" t="s">
        <v>3053</v>
      </c>
      <c r="E396" s="249" t="s">
        <v>3016</v>
      </c>
      <c r="F396">
        <v>394</v>
      </c>
    </row>
    <row r="397" spans="1:6" x14ac:dyDescent="0.25">
      <c r="A397" t="s">
        <v>2965</v>
      </c>
      <c r="B397" s="248">
        <v>125</v>
      </c>
      <c r="C397" t="s">
        <v>3385</v>
      </c>
      <c r="D397" t="s">
        <v>3204</v>
      </c>
      <c r="E397" s="249" t="s">
        <v>3020</v>
      </c>
      <c r="F397">
        <v>395</v>
      </c>
    </row>
    <row r="398" spans="1:6" x14ac:dyDescent="0.25">
      <c r="A398" t="s">
        <v>1965</v>
      </c>
      <c r="B398" s="248">
        <v>291.5</v>
      </c>
      <c r="C398" t="s">
        <v>3386</v>
      </c>
      <c r="D398" t="s">
        <v>3204</v>
      </c>
      <c r="E398" s="249" t="s">
        <v>3001</v>
      </c>
      <c r="F398">
        <v>396</v>
      </c>
    </row>
    <row r="399" spans="1:6" x14ac:dyDescent="0.25">
      <c r="A399" t="s">
        <v>1976</v>
      </c>
      <c r="B399" s="248">
        <v>291.5</v>
      </c>
      <c r="C399" t="s">
        <v>3387</v>
      </c>
      <c r="D399" t="s">
        <v>3204</v>
      </c>
      <c r="E399" s="249" t="s">
        <v>3001</v>
      </c>
      <c r="F399">
        <v>397</v>
      </c>
    </row>
    <row r="400" spans="1:6" x14ac:dyDescent="0.25">
      <c r="A400" t="s">
        <v>2626</v>
      </c>
      <c r="B400" s="248">
        <v>1070</v>
      </c>
      <c r="C400" t="s">
        <v>3388</v>
      </c>
      <c r="D400" t="s">
        <v>3056</v>
      </c>
      <c r="E400" s="249" t="s">
        <v>3028</v>
      </c>
      <c r="F400">
        <v>398</v>
      </c>
    </row>
    <row r="401" spans="1:6" x14ac:dyDescent="0.25">
      <c r="A401" t="s">
        <v>2655</v>
      </c>
      <c r="B401" s="248">
        <v>7853</v>
      </c>
      <c r="C401" t="s">
        <v>3389</v>
      </c>
      <c r="D401" t="s">
        <v>3056</v>
      </c>
      <c r="E401" s="249" t="s">
        <v>3028</v>
      </c>
      <c r="F401">
        <v>399</v>
      </c>
    </row>
    <row r="402" spans="1:6" x14ac:dyDescent="0.25">
      <c r="A402" t="s">
        <v>2637</v>
      </c>
      <c r="B402" s="248">
        <v>3837</v>
      </c>
      <c r="C402" t="s">
        <v>3390</v>
      </c>
      <c r="D402" t="s">
        <v>3056</v>
      </c>
      <c r="E402" s="249" t="s">
        <v>3028</v>
      </c>
      <c r="F402">
        <v>400</v>
      </c>
    </row>
    <row r="403" spans="1:6" x14ac:dyDescent="0.25">
      <c r="A403" t="s">
        <v>2647</v>
      </c>
      <c r="B403" s="248">
        <v>5843</v>
      </c>
      <c r="C403" t="s">
        <v>3391</v>
      </c>
      <c r="D403" t="s">
        <v>3056</v>
      </c>
      <c r="E403" s="249" t="s">
        <v>3028</v>
      </c>
      <c r="F403">
        <v>401</v>
      </c>
    </row>
    <row r="404" spans="1:6" x14ac:dyDescent="0.25">
      <c r="A404" t="s">
        <v>2729</v>
      </c>
      <c r="B404" s="248">
        <v>4700</v>
      </c>
      <c r="C404" t="s">
        <v>3392</v>
      </c>
      <c r="D404" t="s">
        <v>3056</v>
      </c>
      <c r="E404" s="249" t="s">
        <v>3028</v>
      </c>
      <c r="F404">
        <v>402</v>
      </c>
    </row>
    <row r="405" spans="1:6" x14ac:dyDescent="0.25">
      <c r="A405" t="s">
        <v>2665</v>
      </c>
      <c r="B405" s="248">
        <v>1930</v>
      </c>
      <c r="C405" t="s">
        <v>3393</v>
      </c>
      <c r="D405" t="s">
        <v>3056</v>
      </c>
      <c r="E405" s="249" t="s">
        <v>3028</v>
      </c>
      <c r="F405">
        <v>403</v>
      </c>
    </row>
    <row r="406" spans="1:6" x14ac:dyDescent="0.25">
      <c r="A406" t="s">
        <v>2680</v>
      </c>
      <c r="B406" s="248">
        <v>3892</v>
      </c>
      <c r="C406" t="s">
        <v>3394</v>
      </c>
      <c r="D406" t="s">
        <v>3056</v>
      </c>
      <c r="E406" s="249" t="s">
        <v>3028</v>
      </c>
      <c r="F406">
        <v>404</v>
      </c>
    </row>
    <row r="407" spans="1:6" x14ac:dyDescent="0.25">
      <c r="A407" t="s">
        <v>2693</v>
      </c>
      <c r="B407" s="248">
        <v>6773</v>
      </c>
      <c r="C407" t="s">
        <v>3395</v>
      </c>
      <c r="D407" t="s">
        <v>3056</v>
      </c>
      <c r="E407" s="249" t="s">
        <v>3028</v>
      </c>
      <c r="F407">
        <v>405</v>
      </c>
    </row>
    <row r="408" spans="1:6" x14ac:dyDescent="0.25">
      <c r="A408" t="s">
        <v>2747</v>
      </c>
      <c r="B408" s="248">
        <v>3392</v>
      </c>
      <c r="C408" t="s">
        <v>3396</v>
      </c>
      <c r="D408" t="s">
        <v>3056</v>
      </c>
      <c r="E408" s="249" t="s">
        <v>3028</v>
      </c>
      <c r="F408">
        <v>406</v>
      </c>
    </row>
    <row r="409" spans="1:6" x14ac:dyDescent="0.25">
      <c r="A409" t="s">
        <v>2873</v>
      </c>
      <c r="B409" s="248">
        <v>9086</v>
      </c>
      <c r="C409" t="s">
        <v>3397</v>
      </c>
      <c r="D409" t="s">
        <v>3056</v>
      </c>
      <c r="E409" s="249" t="s">
        <v>3028</v>
      </c>
      <c r="F409">
        <v>407</v>
      </c>
    </row>
    <row r="410" spans="1:6" x14ac:dyDescent="0.25">
      <c r="A410" t="s">
        <v>84</v>
      </c>
      <c r="B410" s="248">
        <v>1717</v>
      </c>
      <c r="C410" t="s">
        <v>3398</v>
      </c>
      <c r="D410" t="s">
        <v>3053</v>
      </c>
      <c r="E410" s="249" t="s">
        <v>3043</v>
      </c>
      <c r="F410">
        <v>408</v>
      </c>
    </row>
    <row r="411" spans="1:6" x14ac:dyDescent="0.25">
      <c r="A411" t="s">
        <v>1384</v>
      </c>
      <c r="B411" s="248">
        <v>2322</v>
      </c>
      <c r="C411" t="s">
        <v>3399</v>
      </c>
      <c r="D411" t="s">
        <v>3053</v>
      </c>
      <c r="E411" s="249" t="s">
        <v>3047</v>
      </c>
      <c r="F411">
        <v>409</v>
      </c>
    </row>
    <row r="412" spans="1:6" x14ac:dyDescent="0.25">
      <c r="A412" t="s">
        <v>1656</v>
      </c>
      <c r="B412" s="248">
        <v>5951</v>
      </c>
      <c r="C412" t="s">
        <v>3400</v>
      </c>
      <c r="D412" t="s">
        <v>3053</v>
      </c>
      <c r="E412" s="249" t="s">
        <v>3048</v>
      </c>
      <c r="F412">
        <v>410</v>
      </c>
    </row>
    <row r="413" spans="1:6" x14ac:dyDescent="0.25">
      <c r="A413" t="s">
        <v>1844</v>
      </c>
      <c r="B413" s="248">
        <v>9960</v>
      </c>
      <c r="C413" t="s">
        <v>3401</v>
      </c>
      <c r="D413" t="s">
        <v>3053</v>
      </c>
      <c r="E413" s="249" t="s">
        <v>3049</v>
      </c>
      <c r="F413">
        <v>411</v>
      </c>
    </row>
    <row r="414" spans="1:6" x14ac:dyDescent="0.25">
      <c r="A414" t="s">
        <v>1467</v>
      </c>
      <c r="B414" s="248">
        <v>1319</v>
      </c>
      <c r="C414" t="s">
        <v>3402</v>
      </c>
      <c r="D414" t="s">
        <v>3053</v>
      </c>
      <c r="E414" s="249" t="s">
        <v>3047</v>
      </c>
      <c r="F414">
        <v>412</v>
      </c>
    </row>
    <row r="415" spans="1:6" x14ac:dyDescent="0.25">
      <c r="A415" t="s">
        <v>1488</v>
      </c>
      <c r="B415" s="248">
        <v>1258</v>
      </c>
      <c r="C415" t="s">
        <v>3403</v>
      </c>
      <c r="D415" t="s">
        <v>3053</v>
      </c>
      <c r="E415" s="249" t="s">
        <v>3047</v>
      </c>
      <c r="F415">
        <v>413</v>
      </c>
    </row>
    <row r="416" spans="1:6" x14ac:dyDescent="0.25">
      <c r="A416" t="s">
        <v>1565</v>
      </c>
      <c r="B416" s="248">
        <v>1106</v>
      </c>
      <c r="C416" t="s">
        <v>3404</v>
      </c>
      <c r="D416" t="s">
        <v>3053</v>
      </c>
      <c r="E416" s="249" t="s">
        <v>3047</v>
      </c>
      <c r="F416">
        <v>414</v>
      </c>
    </row>
    <row r="417" spans="1:6" x14ac:dyDescent="0.25">
      <c r="A417" t="s">
        <v>1587</v>
      </c>
      <c r="B417" s="248">
        <v>1056</v>
      </c>
      <c r="C417" t="s">
        <v>3405</v>
      </c>
      <c r="D417" t="s">
        <v>3053</v>
      </c>
      <c r="E417" s="249" t="s">
        <v>3047</v>
      </c>
      <c r="F417">
        <v>415</v>
      </c>
    </row>
    <row r="418" spans="1:6" x14ac:dyDescent="0.25">
      <c r="A418" t="s">
        <v>1613</v>
      </c>
      <c r="B418" s="248">
        <v>2356</v>
      </c>
      <c r="C418" t="s">
        <v>3406</v>
      </c>
      <c r="D418" t="s">
        <v>3053</v>
      </c>
      <c r="E418" s="249" t="s">
        <v>3047</v>
      </c>
      <c r="F418">
        <v>416</v>
      </c>
    </row>
    <row r="419" spans="1:6" x14ac:dyDescent="0.25">
      <c r="A419" t="s">
        <v>1705</v>
      </c>
      <c r="B419" s="248">
        <v>3386</v>
      </c>
      <c r="C419" t="s">
        <v>3407</v>
      </c>
      <c r="D419" t="s">
        <v>3053</v>
      </c>
      <c r="E419" s="249" t="s">
        <v>3048</v>
      </c>
      <c r="F419">
        <v>417</v>
      </c>
    </row>
    <row r="420" spans="1:6" x14ac:dyDescent="0.25">
      <c r="A420" t="s">
        <v>1724</v>
      </c>
      <c r="B420" s="248">
        <v>3168</v>
      </c>
      <c r="C420" t="s">
        <v>3408</v>
      </c>
      <c r="D420" t="s">
        <v>3053</v>
      </c>
      <c r="E420" s="249" t="s">
        <v>3048</v>
      </c>
      <c r="F420">
        <v>418</v>
      </c>
    </row>
    <row r="421" spans="1:6" x14ac:dyDescent="0.25">
      <c r="A421" t="s">
        <v>1872</v>
      </c>
      <c r="B421" s="248">
        <v>7648</v>
      </c>
      <c r="C421" t="s">
        <v>3409</v>
      </c>
      <c r="D421" t="s">
        <v>3053</v>
      </c>
      <c r="E421" s="249" t="s">
        <v>3049</v>
      </c>
      <c r="F421">
        <v>419</v>
      </c>
    </row>
    <row r="422" spans="1:6" x14ac:dyDescent="0.25">
      <c r="A422" t="s">
        <v>1777</v>
      </c>
      <c r="B422" s="248">
        <v>4992</v>
      </c>
      <c r="C422" t="s">
        <v>3410</v>
      </c>
      <c r="D422" t="s">
        <v>3053</v>
      </c>
      <c r="E422" s="249" t="s">
        <v>3048</v>
      </c>
      <c r="F422">
        <v>420</v>
      </c>
    </row>
    <row r="423" spans="1:6" x14ac:dyDescent="0.25">
      <c r="A423" t="s">
        <v>2079</v>
      </c>
      <c r="B423" s="248">
        <v>8136</v>
      </c>
      <c r="C423" t="s">
        <v>3411</v>
      </c>
      <c r="D423" t="s">
        <v>3053</v>
      </c>
      <c r="E423" s="249" t="s">
        <v>3013</v>
      </c>
      <c r="F423">
        <v>421</v>
      </c>
    </row>
    <row r="424" spans="1:6" x14ac:dyDescent="0.25">
      <c r="A424" t="s">
        <v>2301</v>
      </c>
      <c r="B424" s="248">
        <v>565</v>
      </c>
      <c r="C424" t="s">
        <v>3412</v>
      </c>
      <c r="D424" t="s">
        <v>3241</v>
      </c>
      <c r="E424" s="249" t="s">
        <v>3020</v>
      </c>
      <c r="F424">
        <v>422</v>
      </c>
    </row>
    <row r="425" spans="1:6" x14ac:dyDescent="0.25">
      <c r="A425" t="s">
        <v>2336</v>
      </c>
      <c r="B425" s="248">
        <v>936</v>
      </c>
      <c r="C425" t="s">
        <v>3413</v>
      </c>
      <c r="D425" t="s">
        <v>3241</v>
      </c>
      <c r="E425" s="249" t="s">
        <v>3020</v>
      </c>
      <c r="F425">
        <v>423</v>
      </c>
    </row>
    <row r="426" spans="1:6" x14ac:dyDescent="0.25">
      <c r="A426" t="s">
        <v>2365</v>
      </c>
      <c r="B426" s="248">
        <v>2156</v>
      </c>
      <c r="C426" t="s">
        <v>3414</v>
      </c>
      <c r="D426" t="s">
        <v>3241</v>
      </c>
      <c r="E426" s="249" t="s">
        <v>3020</v>
      </c>
      <c r="F426">
        <v>424</v>
      </c>
    </row>
    <row r="427" spans="1:6" x14ac:dyDescent="0.25">
      <c r="A427" t="s">
        <v>2383</v>
      </c>
      <c r="B427" s="248">
        <v>2360</v>
      </c>
      <c r="C427" t="s">
        <v>3415</v>
      </c>
      <c r="D427" t="s">
        <v>3241</v>
      </c>
      <c r="E427" s="249" t="s">
        <v>3020</v>
      </c>
      <c r="F427">
        <v>425</v>
      </c>
    </row>
    <row r="428" spans="1:6" x14ac:dyDescent="0.25">
      <c r="A428" t="s">
        <v>2393</v>
      </c>
      <c r="B428" s="248">
        <v>2701</v>
      </c>
      <c r="C428" t="s">
        <v>3416</v>
      </c>
      <c r="D428" t="s">
        <v>3241</v>
      </c>
      <c r="E428" s="249" t="s">
        <v>3020</v>
      </c>
      <c r="F428">
        <v>426</v>
      </c>
    </row>
    <row r="429" spans="1:6" x14ac:dyDescent="0.25">
      <c r="A429" t="s">
        <v>2348</v>
      </c>
      <c r="B429" s="248">
        <v>983.5</v>
      </c>
      <c r="C429" t="s">
        <v>3417</v>
      </c>
      <c r="D429" t="s">
        <v>3241</v>
      </c>
      <c r="E429" s="249" t="s">
        <v>3020</v>
      </c>
      <c r="F429">
        <v>427</v>
      </c>
    </row>
    <row r="430" spans="1:6" x14ac:dyDescent="0.25">
      <c r="A430" t="s">
        <v>2241</v>
      </c>
      <c r="B430" s="248">
        <v>2991</v>
      </c>
      <c r="C430" t="s">
        <v>3418</v>
      </c>
      <c r="D430" t="s">
        <v>3246</v>
      </c>
      <c r="E430" s="249" t="s">
        <v>3018</v>
      </c>
      <c r="F430">
        <v>428</v>
      </c>
    </row>
    <row r="431" spans="1:6" x14ac:dyDescent="0.25">
      <c r="A431" t="s">
        <v>2268</v>
      </c>
      <c r="B431" s="248">
        <v>5186</v>
      </c>
      <c r="C431" t="s">
        <v>3419</v>
      </c>
      <c r="D431" t="s">
        <v>3246</v>
      </c>
      <c r="E431" s="249" t="s">
        <v>3018</v>
      </c>
      <c r="F431">
        <v>429</v>
      </c>
    </row>
    <row r="432" spans="1:6" x14ac:dyDescent="0.25">
      <c r="A432" t="s">
        <v>2282</v>
      </c>
      <c r="B432" s="248">
        <v>5186</v>
      </c>
      <c r="C432" t="s">
        <v>3420</v>
      </c>
      <c r="D432" t="s">
        <v>3246</v>
      </c>
      <c r="E432" s="249" t="s">
        <v>3018</v>
      </c>
      <c r="F432">
        <v>430</v>
      </c>
    </row>
    <row r="433" spans="1:6" x14ac:dyDescent="0.25">
      <c r="A433" t="s">
        <v>2414</v>
      </c>
      <c r="B433" s="248">
        <v>2110</v>
      </c>
      <c r="C433" t="s">
        <v>3421</v>
      </c>
      <c r="D433" t="s">
        <v>3241</v>
      </c>
      <c r="E433" s="249" t="s">
        <v>3020</v>
      </c>
      <c r="F433">
        <v>431</v>
      </c>
    </row>
    <row r="434" spans="1:6" x14ac:dyDescent="0.25">
      <c r="A434" t="s">
        <v>2438</v>
      </c>
      <c r="B434" s="248">
        <v>1297</v>
      </c>
      <c r="C434" t="s">
        <v>3422</v>
      </c>
      <c r="D434" t="s">
        <v>3053</v>
      </c>
      <c r="E434" s="249" t="s">
        <v>3020</v>
      </c>
      <c r="F434">
        <v>432</v>
      </c>
    </row>
    <row r="435" spans="1:6" x14ac:dyDescent="0.25">
      <c r="A435" t="s">
        <v>2433</v>
      </c>
      <c r="B435" s="248">
        <v>3110</v>
      </c>
      <c r="C435" t="s">
        <v>3423</v>
      </c>
      <c r="D435" t="s">
        <v>3241</v>
      </c>
      <c r="E435" s="249" t="s">
        <v>3020</v>
      </c>
      <c r="F435">
        <v>433</v>
      </c>
    </row>
    <row r="436" spans="1:6" x14ac:dyDescent="0.25">
      <c r="A436" t="s">
        <v>2425</v>
      </c>
      <c r="B436" s="248">
        <v>2309</v>
      </c>
      <c r="C436" t="s">
        <v>3424</v>
      </c>
      <c r="D436" t="s">
        <v>3241</v>
      </c>
      <c r="E436" s="249" t="s">
        <v>3020</v>
      </c>
      <c r="F436">
        <v>434</v>
      </c>
    </row>
    <row r="437" spans="1:6" x14ac:dyDescent="0.25">
      <c r="A437" t="s">
        <v>384</v>
      </c>
      <c r="B437" s="248">
        <v>1044</v>
      </c>
      <c r="C437" t="s">
        <v>3425</v>
      </c>
      <c r="D437" t="s">
        <v>3053</v>
      </c>
      <c r="E437" s="249" t="s">
        <v>3043</v>
      </c>
      <c r="F437">
        <v>435</v>
      </c>
    </row>
    <row r="438" spans="1:6" x14ac:dyDescent="0.25">
      <c r="A438" t="s">
        <v>238</v>
      </c>
      <c r="B438" s="248">
        <v>718</v>
      </c>
      <c r="C438" t="s">
        <v>3426</v>
      </c>
      <c r="D438" t="s">
        <v>3053</v>
      </c>
      <c r="E438" s="249" t="s">
        <v>3043</v>
      </c>
      <c r="F438">
        <v>436</v>
      </c>
    </row>
    <row r="439" spans="1:6" x14ac:dyDescent="0.25">
      <c r="A439" t="s">
        <v>475</v>
      </c>
      <c r="B439" s="248">
        <v>996.5</v>
      </c>
      <c r="C439" t="s">
        <v>3427</v>
      </c>
      <c r="D439" t="s">
        <v>3053</v>
      </c>
      <c r="E439" s="249" t="s">
        <v>3043</v>
      </c>
      <c r="F439">
        <v>437</v>
      </c>
    </row>
    <row r="440" spans="1:6" x14ac:dyDescent="0.25">
      <c r="A440" t="s">
        <v>1039</v>
      </c>
      <c r="B440" s="248">
        <v>8129</v>
      </c>
      <c r="C440" t="s">
        <v>3428</v>
      </c>
      <c r="D440" t="s">
        <v>3053</v>
      </c>
      <c r="E440" s="249" t="s">
        <v>3045</v>
      </c>
      <c r="F440">
        <v>438</v>
      </c>
    </row>
    <row r="441" spans="1:6" x14ac:dyDescent="0.25">
      <c r="A441" t="s">
        <v>5921</v>
      </c>
      <c r="B441" s="248">
        <v>24327</v>
      </c>
      <c r="C441" t="s">
        <v>5994</v>
      </c>
      <c r="D441" t="s">
        <v>3053</v>
      </c>
      <c r="E441" s="249" t="s">
        <v>3046</v>
      </c>
      <c r="F441">
        <v>439</v>
      </c>
    </row>
    <row r="442" spans="1:6" x14ac:dyDescent="0.25">
      <c r="A442" t="s">
        <v>864</v>
      </c>
      <c r="B442" s="248">
        <v>2196</v>
      </c>
      <c r="C442" t="s">
        <v>3429</v>
      </c>
      <c r="D442" t="s">
        <v>3053</v>
      </c>
      <c r="E442" s="249" t="s">
        <v>3045</v>
      </c>
      <c r="F442">
        <v>440</v>
      </c>
    </row>
    <row r="443" spans="1:6" x14ac:dyDescent="0.25">
      <c r="A443" t="s">
        <v>914</v>
      </c>
      <c r="B443" s="248">
        <v>2749</v>
      </c>
      <c r="C443" t="s">
        <v>3430</v>
      </c>
      <c r="D443" t="s">
        <v>3053</v>
      </c>
      <c r="E443" s="249" t="s">
        <v>3045</v>
      </c>
      <c r="F443">
        <v>441</v>
      </c>
    </row>
    <row r="444" spans="1:6" x14ac:dyDescent="0.25">
      <c r="A444" t="s">
        <v>1171</v>
      </c>
      <c r="B444" s="248">
        <v>5313</v>
      </c>
      <c r="C444" t="s">
        <v>3431</v>
      </c>
      <c r="D444" t="s">
        <v>3053</v>
      </c>
      <c r="E444" s="249" t="s">
        <v>3046</v>
      </c>
      <c r="F444">
        <v>442</v>
      </c>
    </row>
    <row r="445" spans="1:6" x14ac:dyDescent="0.25">
      <c r="A445" t="s">
        <v>1215</v>
      </c>
      <c r="B445" s="248">
        <v>5313</v>
      </c>
      <c r="C445" t="s">
        <v>3432</v>
      </c>
      <c r="D445" t="s">
        <v>3053</v>
      </c>
      <c r="E445" s="249" t="s">
        <v>3046</v>
      </c>
      <c r="F445">
        <v>443</v>
      </c>
    </row>
    <row r="446" spans="1:6" x14ac:dyDescent="0.25">
      <c r="A446" t="s">
        <v>960</v>
      </c>
      <c r="B446" s="248">
        <v>2606</v>
      </c>
      <c r="C446" t="s">
        <v>3433</v>
      </c>
      <c r="D446" t="s">
        <v>3053</v>
      </c>
      <c r="E446" s="249" t="s">
        <v>3045</v>
      </c>
      <c r="F446">
        <v>444</v>
      </c>
    </row>
    <row r="447" spans="1:6" x14ac:dyDescent="0.25">
      <c r="A447" t="s">
        <v>1000</v>
      </c>
      <c r="B447" s="248">
        <v>2606</v>
      </c>
      <c r="C447" t="s">
        <v>3434</v>
      </c>
      <c r="D447" t="s">
        <v>3053</v>
      </c>
      <c r="E447" s="249" t="s">
        <v>3045</v>
      </c>
      <c r="F447">
        <v>445</v>
      </c>
    </row>
    <row r="448" spans="1:6" x14ac:dyDescent="0.25">
      <c r="A448" t="s">
        <v>1245</v>
      </c>
      <c r="B448" s="248">
        <v>6501</v>
      </c>
      <c r="C448" t="s">
        <v>3435</v>
      </c>
      <c r="D448" t="s">
        <v>3053</v>
      </c>
      <c r="E448" s="249" t="s">
        <v>3046</v>
      </c>
      <c r="F448">
        <v>446</v>
      </c>
    </row>
    <row r="449" spans="1:6" x14ac:dyDescent="0.25">
      <c r="A449" t="s">
        <v>2585</v>
      </c>
      <c r="B449" s="248">
        <v>831</v>
      </c>
      <c r="C449" t="s">
        <v>3436</v>
      </c>
      <c r="D449" t="s">
        <v>3056</v>
      </c>
      <c r="E449" s="249" t="s">
        <v>3028</v>
      </c>
      <c r="F449">
        <v>447</v>
      </c>
    </row>
    <row r="450" spans="1:6" x14ac:dyDescent="0.25">
      <c r="A450" t="s">
        <v>2071</v>
      </c>
      <c r="B450" s="248">
        <v>3049</v>
      </c>
      <c r="C450" t="s">
        <v>3437</v>
      </c>
      <c r="D450" t="s">
        <v>3053</v>
      </c>
      <c r="E450" s="249" t="s">
        <v>3013</v>
      </c>
      <c r="F450">
        <v>448</v>
      </c>
    </row>
    <row r="451" spans="1:6" x14ac:dyDescent="0.25">
      <c r="A451" t="s">
        <v>2115</v>
      </c>
      <c r="B451" s="248">
        <v>1335</v>
      </c>
      <c r="C451" t="s">
        <v>3438</v>
      </c>
      <c r="D451" t="s">
        <v>3053</v>
      </c>
      <c r="E451" s="249" t="s">
        <v>3016</v>
      </c>
      <c r="F451">
        <v>449</v>
      </c>
    </row>
    <row r="452" spans="1:6" x14ac:dyDescent="0.25">
      <c r="A452" t="s">
        <v>2226</v>
      </c>
      <c r="B452" s="248">
        <v>1427</v>
      </c>
      <c r="C452" t="s">
        <v>3439</v>
      </c>
      <c r="D452" t="s">
        <v>3053</v>
      </c>
      <c r="E452" s="249" t="s">
        <v>3016</v>
      </c>
      <c r="F452">
        <v>450</v>
      </c>
    </row>
    <row r="453" spans="1:6" x14ac:dyDescent="0.25">
      <c r="A453" t="s">
        <v>2118</v>
      </c>
      <c r="B453" s="248">
        <v>1634</v>
      </c>
      <c r="C453" t="s">
        <v>3440</v>
      </c>
      <c r="D453" t="s">
        <v>3053</v>
      </c>
      <c r="E453" s="249" t="s">
        <v>3016</v>
      </c>
      <c r="F453">
        <v>451</v>
      </c>
    </row>
    <row r="454" spans="1:6" x14ac:dyDescent="0.25">
      <c r="A454" t="s">
        <v>2227</v>
      </c>
      <c r="B454" s="248">
        <v>1610</v>
      </c>
      <c r="C454" t="s">
        <v>3441</v>
      </c>
      <c r="D454" t="s">
        <v>3053</v>
      </c>
      <c r="E454" s="249" t="s">
        <v>3016</v>
      </c>
      <c r="F454">
        <v>452</v>
      </c>
    </row>
    <row r="455" spans="1:6" x14ac:dyDescent="0.25">
      <c r="A455" t="s">
        <v>2184</v>
      </c>
      <c r="B455" s="248">
        <v>2281</v>
      </c>
      <c r="C455" t="s">
        <v>3442</v>
      </c>
      <c r="D455" t="s">
        <v>3053</v>
      </c>
      <c r="E455" s="249" t="s">
        <v>3016</v>
      </c>
      <c r="F455">
        <v>453</v>
      </c>
    </row>
    <row r="456" spans="1:6" x14ac:dyDescent="0.25">
      <c r="A456" t="s">
        <v>2966</v>
      </c>
      <c r="B456" s="248">
        <v>166.5</v>
      </c>
      <c r="C456" t="s">
        <v>3443</v>
      </c>
      <c r="D456" t="s">
        <v>3204</v>
      </c>
      <c r="E456" s="249" t="s">
        <v>3020</v>
      </c>
      <c r="F456">
        <v>454</v>
      </c>
    </row>
    <row r="457" spans="1:6" x14ac:dyDescent="0.25">
      <c r="A457" t="s">
        <v>1977</v>
      </c>
      <c r="B457" s="248">
        <v>416</v>
      </c>
      <c r="C457" t="s">
        <v>3444</v>
      </c>
      <c r="D457" t="s">
        <v>3204</v>
      </c>
      <c r="E457" s="249" t="s">
        <v>3001</v>
      </c>
      <c r="F457">
        <v>455</v>
      </c>
    </row>
    <row r="458" spans="1:6" x14ac:dyDescent="0.25">
      <c r="A458" t="s">
        <v>2627</v>
      </c>
      <c r="B458" s="248">
        <v>1688</v>
      </c>
      <c r="C458" t="s">
        <v>3445</v>
      </c>
      <c r="D458" t="s">
        <v>3056</v>
      </c>
      <c r="E458" s="249" t="s">
        <v>3028</v>
      </c>
      <c r="F458">
        <v>456</v>
      </c>
    </row>
    <row r="459" spans="1:6" x14ac:dyDescent="0.25">
      <c r="A459" t="s">
        <v>2656</v>
      </c>
      <c r="B459" s="248">
        <v>11003</v>
      </c>
      <c r="C459" t="s">
        <v>3446</v>
      </c>
      <c r="D459" t="s">
        <v>3056</v>
      </c>
      <c r="E459" s="249" t="s">
        <v>3028</v>
      </c>
      <c r="F459">
        <v>457</v>
      </c>
    </row>
    <row r="460" spans="1:6" x14ac:dyDescent="0.25">
      <c r="A460" t="s">
        <v>2648</v>
      </c>
      <c r="B460" s="248">
        <v>6787</v>
      </c>
      <c r="C460" t="s">
        <v>3447</v>
      </c>
      <c r="D460" t="s">
        <v>3056</v>
      </c>
      <c r="E460" s="249" t="s">
        <v>3028</v>
      </c>
      <c r="F460">
        <v>458</v>
      </c>
    </row>
    <row r="461" spans="1:6" x14ac:dyDescent="0.25">
      <c r="A461" t="s">
        <v>2720</v>
      </c>
      <c r="B461" s="248">
        <v>3289</v>
      </c>
      <c r="C461" t="s">
        <v>3448</v>
      </c>
      <c r="D461" t="s">
        <v>3056</v>
      </c>
      <c r="E461" s="249" t="s">
        <v>3028</v>
      </c>
      <c r="F461">
        <v>459</v>
      </c>
    </row>
    <row r="462" spans="1:6" x14ac:dyDescent="0.25">
      <c r="A462" t="s">
        <v>2730</v>
      </c>
      <c r="B462" s="248">
        <v>5788</v>
      </c>
      <c r="C462" t="s">
        <v>3449</v>
      </c>
      <c r="D462" t="s">
        <v>3056</v>
      </c>
      <c r="E462" s="249" t="s">
        <v>3028</v>
      </c>
      <c r="F462">
        <v>460</v>
      </c>
    </row>
    <row r="463" spans="1:6" x14ac:dyDescent="0.25">
      <c r="A463" t="s">
        <v>2681</v>
      </c>
      <c r="B463" s="248">
        <v>4893</v>
      </c>
      <c r="C463" t="s">
        <v>3450</v>
      </c>
      <c r="D463" t="s">
        <v>3056</v>
      </c>
      <c r="E463" s="249" t="s">
        <v>3028</v>
      </c>
      <c r="F463">
        <v>461</v>
      </c>
    </row>
    <row r="464" spans="1:6" x14ac:dyDescent="0.25">
      <c r="A464" t="s">
        <v>2748</v>
      </c>
      <c r="B464" s="248">
        <v>4413</v>
      </c>
      <c r="C464" t="s">
        <v>3451</v>
      </c>
      <c r="D464" t="s">
        <v>3056</v>
      </c>
      <c r="E464" s="249" t="s">
        <v>3028</v>
      </c>
      <c r="F464">
        <v>462</v>
      </c>
    </row>
    <row r="465" spans="1:6" x14ac:dyDescent="0.25">
      <c r="A465" t="s">
        <v>2874</v>
      </c>
      <c r="B465" s="248">
        <v>11612</v>
      </c>
      <c r="C465" t="s">
        <v>3452</v>
      </c>
      <c r="D465" t="s">
        <v>3056</v>
      </c>
      <c r="E465" s="249" t="s">
        <v>3028</v>
      </c>
      <c r="F465">
        <v>463</v>
      </c>
    </row>
    <row r="466" spans="1:6" x14ac:dyDescent="0.25">
      <c r="A466" t="s">
        <v>1387</v>
      </c>
      <c r="B466" s="248">
        <v>3525</v>
      </c>
      <c r="C466" t="s">
        <v>3453</v>
      </c>
      <c r="D466" t="s">
        <v>3053</v>
      </c>
      <c r="E466" s="249" t="s">
        <v>3047</v>
      </c>
      <c r="F466">
        <v>464</v>
      </c>
    </row>
    <row r="467" spans="1:6" x14ac:dyDescent="0.25">
      <c r="A467" t="s">
        <v>1470</v>
      </c>
      <c r="B467" s="248">
        <v>1771</v>
      </c>
      <c r="C467" t="s">
        <v>3454</v>
      </c>
      <c r="D467" t="s">
        <v>3053</v>
      </c>
      <c r="E467" s="249" t="s">
        <v>3047</v>
      </c>
      <c r="F467">
        <v>465</v>
      </c>
    </row>
    <row r="468" spans="1:6" x14ac:dyDescent="0.25">
      <c r="A468" t="s">
        <v>1489</v>
      </c>
      <c r="B468" s="248">
        <v>1690</v>
      </c>
      <c r="C468" t="s">
        <v>3455</v>
      </c>
      <c r="D468" t="s">
        <v>3053</v>
      </c>
      <c r="E468" s="249" t="s">
        <v>3047</v>
      </c>
      <c r="F468">
        <v>466</v>
      </c>
    </row>
    <row r="469" spans="1:6" x14ac:dyDescent="0.25">
      <c r="A469" t="s">
        <v>1568</v>
      </c>
      <c r="B469" s="248">
        <v>2296</v>
      </c>
      <c r="C469" t="s">
        <v>3456</v>
      </c>
      <c r="D469" t="s">
        <v>3053</v>
      </c>
      <c r="E469" s="249" t="s">
        <v>3047</v>
      </c>
      <c r="F469">
        <v>467</v>
      </c>
    </row>
    <row r="470" spans="1:6" x14ac:dyDescent="0.25">
      <c r="A470" t="s">
        <v>1588</v>
      </c>
      <c r="B470" s="248">
        <v>2191</v>
      </c>
      <c r="C470" t="s">
        <v>3457</v>
      </c>
      <c r="D470" t="s">
        <v>3053</v>
      </c>
      <c r="E470" s="249" t="s">
        <v>3047</v>
      </c>
      <c r="F470">
        <v>468</v>
      </c>
    </row>
    <row r="471" spans="1:6" x14ac:dyDescent="0.25">
      <c r="A471" t="s">
        <v>1875</v>
      </c>
      <c r="B471" s="248">
        <v>8180</v>
      </c>
      <c r="C471" t="s">
        <v>3458</v>
      </c>
      <c r="D471" t="s">
        <v>3053</v>
      </c>
      <c r="E471" s="249" t="s">
        <v>3049</v>
      </c>
      <c r="F471">
        <v>469</v>
      </c>
    </row>
    <row r="472" spans="1:6" x14ac:dyDescent="0.25">
      <c r="A472" t="s">
        <v>2302</v>
      </c>
      <c r="B472" s="248">
        <v>856.5</v>
      </c>
      <c r="C472" t="s">
        <v>3459</v>
      </c>
      <c r="D472" t="s">
        <v>3241</v>
      </c>
      <c r="E472" s="249" t="s">
        <v>3020</v>
      </c>
      <c r="F472">
        <v>470</v>
      </c>
    </row>
    <row r="473" spans="1:6" x14ac:dyDescent="0.25">
      <c r="A473" t="s">
        <v>2366</v>
      </c>
      <c r="B473" s="248">
        <v>2852</v>
      </c>
      <c r="C473" t="s">
        <v>3460</v>
      </c>
      <c r="D473" t="s">
        <v>3241</v>
      </c>
      <c r="E473" s="249" t="s">
        <v>3020</v>
      </c>
      <c r="F473">
        <v>471</v>
      </c>
    </row>
    <row r="474" spans="1:6" x14ac:dyDescent="0.25">
      <c r="A474" t="s">
        <v>2384</v>
      </c>
      <c r="B474" s="248">
        <v>3983</v>
      </c>
      <c r="C474" t="s">
        <v>3461</v>
      </c>
      <c r="D474" t="s">
        <v>3241</v>
      </c>
      <c r="E474" s="249" t="s">
        <v>3020</v>
      </c>
      <c r="F474">
        <v>472</v>
      </c>
    </row>
    <row r="475" spans="1:6" x14ac:dyDescent="0.25">
      <c r="A475" t="s">
        <v>2242</v>
      </c>
      <c r="B475" s="248">
        <v>3509</v>
      </c>
      <c r="C475" t="s">
        <v>3462</v>
      </c>
      <c r="D475" t="s">
        <v>3246</v>
      </c>
      <c r="E475" s="249" t="s">
        <v>3018</v>
      </c>
      <c r="F475">
        <v>473</v>
      </c>
    </row>
    <row r="476" spans="1:6" x14ac:dyDescent="0.25">
      <c r="A476" t="s">
        <v>2269</v>
      </c>
      <c r="B476" s="248">
        <v>5995</v>
      </c>
      <c r="C476" t="s">
        <v>3463</v>
      </c>
      <c r="D476" t="s">
        <v>3246</v>
      </c>
      <c r="E476" s="249" t="s">
        <v>3018</v>
      </c>
      <c r="F476">
        <v>474</v>
      </c>
    </row>
    <row r="477" spans="1:6" x14ac:dyDescent="0.25">
      <c r="A477" t="s">
        <v>2283</v>
      </c>
      <c r="B477" s="248">
        <v>5995</v>
      </c>
      <c r="C477" t="s">
        <v>3464</v>
      </c>
      <c r="D477" t="s">
        <v>3246</v>
      </c>
      <c r="E477" s="249" t="s">
        <v>3018</v>
      </c>
      <c r="F477">
        <v>475</v>
      </c>
    </row>
    <row r="478" spans="1:6" x14ac:dyDescent="0.25">
      <c r="A478" t="s">
        <v>387</v>
      </c>
      <c r="B478" s="248">
        <v>1671</v>
      </c>
      <c r="C478" t="s">
        <v>3465</v>
      </c>
      <c r="D478" t="s">
        <v>3053</v>
      </c>
      <c r="E478" s="249" t="s">
        <v>3043</v>
      </c>
      <c r="F478">
        <v>476</v>
      </c>
    </row>
    <row r="479" spans="1:6" x14ac:dyDescent="0.25">
      <c r="A479" t="s">
        <v>242</v>
      </c>
      <c r="B479" s="248">
        <v>1123</v>
      </c>
      <c r="C479" t="s">
        <v>3466</v>
      </c>
      <c r="D479" t="s">
        <v>3053</v>
      </c>
      <c r="E479" s="249" t="s">
        <v>3043</v>
      </c>
      <c r="F479">
        <v>477</v>
      </c>
    </row>
    <row r="480" spans="1:6" x14ac:dyDescent="0.25">
      <c r="A480" t="s">
        <v>476</v>
      </c>
      <c r="B480" s="248">
        <v>1500</v>
      </c>
      <c r="C480" t="s">
        <v>3467</v>
      </c>
      <c r="D480" t="s">
        <v>3053</v>
      </c>
      <c r="E480" s="249" t="s">
        <v>3043</v>
      </c>
      <c r="F480">
        <v>478</v>
      </c>
    </row>
    <row r="481" spans="1:6" x14ac:dyDescent="0.25">
      <c r="A481" t="s">
        <v>867</v>
      </c>
      <c r="B481" s="248">
        <v>3527</v>
      </c>
      <c r="C481" t="s">
        <v>3468</v>
      </c>
      <c r="D481" t="s">
        <v>3053</v>
      </c>
      <c r="E481" s="249" t="s">
        <v>3045</v>
      </c>
      <c r="F481">
        <v>479</v>
      </c>
    </row>
    <row r="482" spans="1:6" x14ac:dyDescent="0.25">
      <c r="A482" t="s">
        <v>1175</v>
      </c>
      <c r="B482" s="248">
        <v>8693</v>
      </c>
      <c r="C482" t="s">
        <v>3469</v>
      </c>
      <c r="D482" t="s">
        <v>3053</v>
      </c>
      <c r="E482" s="249" t="s">
        <v>3046</v>
      </c>
      <c r="F482">
        <v>480</v>
      </c>
    </row>
    <row r="483" spans="1:6" x14ac:dyDescent="0.25">
      <c r="A483" t="s">
        <v>963</v>
      </c>
      <c r="B483" s="248">
        <v>4217</v>
      </c>
      <c r="C483" t="s">
        <v>3470</v>
      </c>
      <c r="D483" t="s">
        <v>3053</v>
      </c>
      <c r="E483" s="249" t="s">
        <v>3045</v>
      </c>
      <c r="F483">
        <v>481</v>
      </c>
    </row>
    <row r="484" spans="1:6" x14ac:dyDescent="0.25">
      <c r="A484" t="s">
        <v>2586</v>
      </c>
      <c r="B484" s="248">
        <v>1102</v>
      </c>
      <c r="C484" t="s">
        <v>3471</v>
      </c>
      <c r="D484" t="s">
        <v>3056</v>
      </c>
      <c r="E484" s="249" t="s">
        <v>3028</v>
      </c>
      <c r="F484">
        <v>482</v>
      </c>
    </row>
    <row r="485" spans="1:6" x14ac:dyDescent="0.25">
      <c r="A485" t="s">
        <v>2072</v>
      </c>
      <c r="B485" s="248">
        <v>3845</v>
      </c>
      <c r="C485" t="s">
        <v>3472</v>
      </c>
      <c r="D485" t="s">
        <v>3053</v>
      </c>
      <c r="E485" s="249" t="s">
        <v>3013</v>
      </c>
      <c r="F485">
        <v>483</v>
      </c>
    </row>
    <row r="486" spans="1:6" x14ac:dyDescent="0.25">
      <c r="A486" t="s">
        <v>2121</v>
      </c>
      <c r="B486" s="248">
        <v>1691</v>
      </c>
      <c r="C486" t="s">
        <v>3473</v>
      </c>
      <c r="D486" t="s">
        <v>3053</v>
      </c>
      <c r="E486" s="249" t="s">
        <v>3016</v>
      </c>
      <c r="F486">
        <v>484</v>
      </c>
    </row>
    <row r="487" spans="1:6" x14ac:dyDescent="0.25">
      <c r="A487" t="s">
        <v>2185</v>
      </c>
      <c r="B487" s="248">
        <v>2845</v>
      </c>
      <c r="C487" t="s">
        <v>3474</v>
      </c>
      <c r="D487" t="s">
        <v>3053</v>
      </c>
      <c r="E487" s="249" t="s">
        <v>3016</v>
      </c>
      <c r="F487">
        <v>485</v>
      </c>
    </row>
    <row r="488" spans="1:6" x14ac:dyDescent="0.25">
      <c r="A488" t="s">
        <v>2124</v>
      </c>
      <c r="B488" s="248">
        <v>2785</v>
      </c>
      <c r="C488" t="s">
        <v>3475</v>
      </c>
      <c r="D488" t="s">
        <v>3053</v>
      </c>
      <c r="E488" s="249" t="s">
        <v>3016</v>
      </c>
      <c r="F488">
        <v>486</v>
      </c>
    </row>
    <row r="489" spans="1:6" x14ac:dyDescent="0.25">
      <c r="A489" t="s">
        <v>2228</v>
      </c>
      <c r="B489" s="248">
        <v>2209</v>
      </c>
      <c r="C489" t="s">
        <v>3476</v>
      </c>
      <c r="D489" t="s">
        <v>3053</v>
      </c>
      <c r="E489" s="249" t="s">
        <v>3016</v>
      </c>
      <c r="F489">
        <v>487</v>
      </c>
    </row>
    <row r="490" spans="1:6" x14ac:dyDescent="0.25">
      <c r="A490" t="s">
        <v>2976</v>
      </c>
      <c r="B490" s="248">
        <v>166.5</v>
      </c>
      <c r="C490" t="s">
        <v>3477</v>
      </c>
      <c r="D490" t="s">
        <v>3204</v>
      </c>
      <c r="E490" s="249" t="s">
        <v>3020</v>
      </c>
      <c r="F490">
        <v>488</v>
      </c>
    </row>
    <row r="491" spans="1:6" x14ac:dyDescent="0.25">
      <c r="A491" t="s">
        <v>2628</v>
      </c>
      <c r="B491" s="248">
        <v>2213</v>
      </c>
      <c r="C491" t="s">
        <v>3478</v>
      </c>
      <c r="D491" t="s">
        <v>3056</v>
      </c>
      <c r="E491" s="249" t="s">
        <v>3028</v>
      </c>
      <c r="F491">
        <v>489</v>
      </c>
    </row>
    <row r="492" spans="1:6" x14ac:dyDescent="0.25">
      <c r="A492" t="s">
        <v>2657</v>
      </c>
      <c r="B492" s="248">
        <v>13752</v>
      </c>
      <c r="C492" t="s">
        <v>3479</v>
      </c>
      <c r="D492" t="s">
        <v>3056</v>
      </c>
      <c r="E492" s="249" t="s">
        <v>3028</v>
      </c>
      <c r="F492">
        <v>490</v>
      </c>
    </row>
    <row r="493" spans="1:6" x14ac:dyDescent="0.25">
      <c r="A493" t="s">
        <v>2639</v>
      </c>
      <c r="B493" s="248">
        <v>6215</v>
      </c>
      <c r="C493" t="s">
        <v>3480</v>
      </c>
      <c r="D493" t="s">
        <v>3056</v>
      </c>
      <c r="E493" s="249" t="s">
        <v>3028</v>
      </c>
      <c r="F493">
        <v>491</v>
      </c>
    </row>
    <row r="494" spans="1:6" x14ac:dyDescent="0.25">
      <c r="A494" t="s">
        <v>2649</v>
      </c>
      <c r="B494" s="248">
        <v>8508</v>
      </c>
      <c r="C494" t="s">
        <v>3481</v>
      </c>
      <c r="D494" t="s">
        <v>3056</v>
      </c>
      <c r="E494" s="249" t="s">
        <v>3028</v>
      </c>
      <c r="F494">
        <v>492</v>
      </c>
    </row>
    <row r="495" spans="1:6" x14ac:dyDescent="0.25">
      <c r="A495" t="s">
        <v>2721</v>
      </c>
      <c r="B495" s="248">
        <v>4783</v>
      </c>
      <c r="C495" t="s">
        <v>3482</v>
      </c>
      <c r="D495" t="s">
        <v>3056</v>
      </c>
      <c r="E495" s="249" t="s">
        <v>3028</v>
      </c>
      <c r="F495">
        <v>493</v>
      </c>
    </row>
    <row r="496" spans="1:6" x14ac:dyDescent="0.25">
      <c r="A496" t="s">
        <v>2731</v>
      </c>
      <c r="B496" s="248">
        <v>7711</v>
      </c>
      <c r="C496" t="s">
        <v>3483</v>
      </c>
      <c r="D496" t="s">
        <v>3056</v>
      </c>
      <c r="E496" s="249" t="s">
        <v>3028</v>
      </c>
      <c r="F496">
        <v>494</v>
      </c>
    </row>
    <row r="497" spans="1:6" x14ac:dyDescent="0.25">
      <c r="A497" t="s">
        <v>2741</v>
      </c>
      <c r="B497" s="248">
        <v>12840</v>
      </c>
      <c r="C497" t="s">
        <v>3484</v>
      </c>
      <c r="D497" t="s">
        <v>3056</v>
      </c>
      <c r="E497" s="249" t="s">
        <v>3028</v>
      </c>
      <c r="F497">
        <v>495</v>
      </c>
    </row>
    <row r="498" spans="1:6" x14ac:dyDescent="0.25">
      <c r="A498" t="s">
        <v>2667</v>
      </c>
      <c r="B498" s="248">
        <v>3383</v>
      </c>
      <c r="C498" t="s">
        <v>3485</v>
      </c>
      <c r="D498" t="s">
        <v>3056</v>
      </c>
      <c r="E498" s="249" t="s">
        <v>3028</v>
      </c>
      <c r="F498">
        <v>496</v>
      </c>
    </row>
    <row r="499" spans="1:6" x14ac:dyDescent="0.25">
      <c r="A499" t="s">
        <v>2682</v>
      </c>
      <c r="B499" s="248">
        <v>6039</v>
      </c>
      <c r="C499" t="s">
        <v>3486</v>
      </c>
      <c r="D499" t="s">
        <v>3056</v>
      </c>
      <c r="E499" s="249" t="s">
        <v>3028</v>
      </c>
      <c r="F499">
        <v>497</v>
      </c>
    </row>
    <row r="500" spans="1:6" x14ac:dyDescent="0.25">
      <c r="A500" t="s">
        <v>2694</v>
      </c>
      <c r="B500" s="248">
        <v>10695</v>
      </c>
      <c r="C500" t="s">
        <v>3487</v>
      </c>
      <c r="D500" t="s">
        <v>3056</v>
      </c>
      <c r="E500" s="249" t="s">
        <v>3028</v>
      </c>
      <c r="F500">
        <v>498</v>
      </c>
    </row>
    <row r="501" spans="1:6" x14ac:dyDescent="0.25">
      <c r="A501" t="s">
        <v>2749</v>
      </c>
      <c r="B501" s="248">
        <v>6055</v>
      </c>
      <c r="C501" t="s">
        <v>3488</v>
      </c>
      <c r="D501" t="s">
        <v>3056</v>
      </c>
      <c r="E501" s="249" t="s">
        <v>3028</v>
      </c>
      <c r="F501">
        <v>499</v>
      </c>
    </row>
    <row r="502" spans="1:6" x14ac:dyDescent="0.25">
      <c r="A502" t="s">
        <v>2875</v>
      </c>
      <c r="B502" s="248">
        <v>13282</v>
      </c>
      <c r="C502" t="s">
        <v>3489</v>
      </c>
      <c r="D502" t="s">
        <v>3056</v>
      </c>
      <c r="E502" s="249" t="s">
        <v>3028</v>
      </c>
      <c r="F502">
        <v>500</v>
      </c>
    </row>
    <row r="503" spans="1:6" x14ac:dyDescent="0.25">
      <c r="A503" t="s">
        <v>1388</v>
      </c>
      <c r="B503" s="248">
        <v>4499</v>
      </c>
      <c r="C503" t="s">
        <v>3490</v>
      </c>
      <c r="D503" t="s">
        <v>3053</v>
      </c>
      <c r="E503" s="249" t="s">
        <v>3047</v>
      </c>
      <c r="F503">
        <v>501</v>
      </c>
    </row>
    <row r="504" spans="1:6" x14ac:dyDescent="0.25">
      <c r="A504" t="s">
        <v>1658</v>
      </c>
      <c r="B504" s="248">
        <v>10878</v>
      </c>
      <c r="C504" t="s">
        <v>3491</v>
      </c>
      <c r="D504" t="s">
        <v>3053</v>
      </c>
      <c r="E504" s="249" t="s">
        <v>3048</v>
      </c>
      <c r="F504">
        <v>502</v>
      </c>
    </row>
    <row r="505" spans="1:6" x14ac:dyDescent="0.25">
      <c r="A505" t="s">
        <v>1848</v>
      </c>
      <c r="B505" s="248">
        <v>19939</v>
      </c>
      <c r="C505" t="s">
        <v>3492</v>
      </c>
      <c r="D505" t="s">
        <v>3053</v>
      </c>
      <c r="E505" s="249" t="s">
        <v>3049</v>
      </c>
      <c r="F505">
        <v>503</v>
      </c>
    </row>
    <row r="506" spans="1:6" x14ac:dyDescent="0.25">
      <c r="A506" t="s">
        <v>1473</v>
      </c>
      <c r="B506" s="248">
        <v>2207</v>
      </c>
      <c r="C506" t="s">
        <v>3493</v>
      </c>
      <c r="D506" t="s">
        <v>3053</v>
      </c>
      <c r="E506" s="249" t="s">
        <v>3047</v>
      </c>
      <c r="F506">
        <v>504</v>
      </c>
    </row>
    <row r="507" spans="1:6" x14ac:dyDescent="0.25">
      <c r="A507" t="s">
        <v>1490</v>
      </c>
      <c r="B507" s="248">
        <v>2106</v>
      </c>
      <c r="C507" t="s">
        <v>3494</v>
      </c>
      <c r="D507" t="s">
        <v>3053</v>
      </c>
      <c r="E507" s="249" t="s">
        <v>3047</v>
      </c>
      <c r="F507">
        <v>505</v>
      </c>
    </row>
    <row r="508" spans="1:6" x14ac:dyDescent="0.25">
      <c r="A508" t="s">
        <v>1571</v>
      </c>
      <c r="B508" s="248">
        <v>1879</v>
      </c>
      <c r="C508" t="s">
        <v>3495</v>
      </c>
      <c r="D508" t="s">
        <v>3053</v>
      </c>
      <c r="E508" s="249" t="s">
        <v>3047</v>
      </c>
      <c r="F508">
        <v>506</v>
      </c>
    </row>
    <row r="509" spans="1:6" x14ac:dyDescent="0.25">
      <c r="A509" t="s">
        <v>1589</v>
      </c>
      <c r="B509" s="248">
        <v>1792</v>
      </c>
      <c r="C509" t="s">
        <v>3496</v>
      </c>
      <c r="D509" t="s">
        <v>3053</v>
      </c>
      <c r="E509" s="249" t="s">
        <v>3047</v>
      </c>
      <c r="F509">
        <v>507</v>
      </c>
    </row>
    <row r="510" spans="1:6" x14ac:dyDescent="0.25">
      <c r="A510" t="s">
        <v>1708</v>
      </c>
      <c r="B510" s="248">
        <v>5894</v>
      </c>
      <c r="C510" t="s">
        <v>3497</v>
      </c>
      <c r="D510" t="s">
        <v>3053</v>
      </c>
      <c r="E510" s="249" t="s">
        <v>3048</v>
      </c>
      <c r="F510">
        <v>508</v>
      </c>
    </row>
    <row r="511" spans="1:6" x14ac:dyDescent="0.25">
      <c r="A511" t="s">
        <v>1876</v>
      </c>
      <c r="B511" s="248">
        <v>9985</v>
      </c>
      <c r="C511" t="s">
        <v>3498</v>
      </c>
      <c r="D511" t="s">
        <v>3053</v>
      </c>
      <c r="E511" s="249" t="s">
        <v>3049</v>
      </c>
      <c r="F511">
        <v>509</v>
      </c>
    </row>
    <row r="512" spans="1:6" x14ac:dyDescent="0.25">
      <c r="A512" t="s">
        <v>1779</v>
      </c>
      <c r="B512" s="248">
        <v>8724</v>
      </c>
      <c r="C512" t="s">
        <v>3499</v>
      </c>
      <c r="D512" t="s">
        <v>3053</v>
      </c>
      <c r="E512" s="249" t="s">
        <v>3048</v>
      </c>
      <c r="F512">
        <v>510</v>
      </c>
    </row>
    <row r="513" spans="1:6" x14ac:dyDescent="0.25">
      <c r="A513" t="s">
        <v>2080</v>
      </c>
      <c r="B513" s="248">
        <v>8950</v>
      </c>
      <c r="C513" t="s">
        <v>3500</v>
      </c>
      <c r="D513" t="s">
        <v>3053</v>
      </c>
      <c r="E513" s="249" t="s">
        <v>3013</v>
      </c>
      <c r="F513">
        <v>511</v>
      </c>
    </row>
    <row r="514" spans="1:6" x14ac:dyDescent="0.25">
      <c r="A514" t="s">
        <v>2303</v>
      </c>
      <c r="B514" s="248">
        <v>1005</v>
      </c>
      <c r="C514" t="s">
        <v>3501</v>
      </c>
      <c r="D514" t="s">
        <v>3241</v>
      </c>
      <c r="E514" s="249" t="s">
        <v>3020</v>
      </c>
      <c r="F514">
        <v>512</v>
      </c>
    </row>
    <row r="515" spans="1:6" x14ac:dyDescent="0.25">
      <c r="A515" t="s">
        <v>2337</v>
      </c>
      <c r="B515" s="248">
        <v>1487</v>
      </c>
      <c r="C515" t="s">
        <v>3502</v>
      </c>
      <c r="D515" t="s">
        <v>3241</v>
      </c>
      <c r="E515" s="249" t="s">
        <v>3020</v>
      </c>
      <c r="F515">
        <v>513</v>
      </c>
    </row>
    <row r="516" spans="1:6" x14ac:dyDescent="0.25">
      <c r="A516" t="s">
        <v>2367</v>
      </c>
      <c r="B516" s="248">
        <v>2852</v>
      </c>
      <c r="C516" t="s">
        <v>3503</v>
      </c>
      <c r="D516" t="s">
        <v>3241</v>
      </c>
      <c r="E516" s="249" t="s">
        <v>3020</v>
      </c>
      <c r="F516">
        <v>514</v>
      </c>
    </row>
    <row r="517" spans="1:6" x14ac:dyDescent="0.25">
      <c r="A517" t="s">
        <v>2385</v>
      </c>
      <c r="B517" s="248">
        <v>3983</v>
      </c>
      <c r="C517" t="s">
        <v>3504</v>
      </c>
      <c r="D517" t="s">
        <v>3241</v>
      </c>
      <c r="E517" s="249" t="s">
        <v>3020</v>
      </c>
      <c r="F517">
        <v>515</v>
      </c>
    </row>
    <row r="518" spans="1:6" x14ac:dyDescent="0.25">
      <c r="A518" t="s">
        <v>2350</v>
      </c>
      <c r="B518" s="248">
        <v>1909</v>
      </c>
      <c r="C518" t="s">
        <v>3505</v>
      </c>
      <c r="D518" t="s">
        <v>3241</v>
      </c>
      <c r="E518" s="249" t="s">
        <v>3020</v>
      </c>
      <c r="F518">
        <v>516</v>
      </c>
    </row>
    <row r="519" spans="1:6" x14ac:dyDescent="0.25">
      <c r="A519" t="s">
        <v>2243</v>
      </c>
      <c r="B519" s="248">
        <v>4813</v>
      </c>
      <c r="C519" t="s">
        <v>3506</v>
      </c>
      <c r="D519" t="s">
        <v>3246</v>
      </c>
      <c r="E519" s="249" t="s">
        <v>3018</v>
      </c>
      <c r="F519">
        <v>517</v>
      </c>
    </row>
    <row r="520" spans="1:6" x14ac:dyDescent="0.25">
      <c r="A520" t="s">
        <v>2270</v>
      </c>
      <c r="B520" s="248">
        <v>7775</v>
      </c>
      <c r="C520" t="s">
        <v>3507</v>
      </c>
      <c r="D520" t="s">
        <v>3246</v>
      </c>
      <c r="E520" s="249" t="s">
        <v>3018</v>
      </c>
      <c r="F520">
        <v>518</v>
      </c>
    </row>
    <row r="521" spans="1:6" x14ac:dyDescent="0.25">
      <c r="A521" t="s">
        <v>2284</v>
      </c>
      <c r="B521" s="248">
        <v>7775</v>
      </c>
      <c r="C521" t="s">
        <v>3508</v>
      </c>
      <c r="D521" t="s">
        <v>3246</v>
      </c>
      <c r="E521" s="249" t="s">
        <v>3018</v>
      </c>
      <c r="F521">
        <v>519</v>
      </c>
    </row>
    <row r="522" spans="1:6" x14ac:dyDescent="0.25">
      <c r="A522" t="s">
        <v>2415</v>
      </c>
      <c r="B522" s="248">
        <v>3569</v>
      </c>
      <c r="C522" t="s">
        <v>3509</v>
      </c>
      <c r="D522" t="s">
        <v>3241</v>
      </c>
      <c r="E522" s="249" t="s">
        <v>3020</v>
      </c>
      <c r="F522">
        <v>520</v>
      </c>
    </row>
    <row r="523" spans="1:6" x14ac:dyDescent="0.25">
      <c r="A523" t="s">
        <v>2439</v>
      </c>
      <c r="B523" s="248">
        <v>1877</v>
      </c>
      <c r="C523" t="s">
        <v>3510</v>
      </c>
      <c r="D523" t="s">
        <v>3053</v>
      </c>
      <c r="E523" s="249" t="s">
        <v>3020</v>
      </c>
      <c r="F523">
        <v>521</v>
      </c>
    </row>
    <row r="524" spans="1:6" x14ac:dyDescent="0.25">
      <c r="A524" t="s">
        <v>2426</v>
      </c>
      <c r="B524" s="248">
        <v>4984</v>
      </c>
      <c r="C524" t="s">
        <v>3511</v>
      </c>
      <c r="D524" t="s">
        <v>3241</v>
      </c>
      <c r="E524" s="249" t="s">
        <v>3020</v>
      </c>
      <c r="F524">
        <v>522</v>
      </c>
    </row>
    <row r="525" spans="1:6" x14ac:dyDescent="0.25">
      <c r="A525" t="s">
        <v>390</v>
      </c>
      <c r="B525" s="248">
        <v>1843</v>
      </c>
      <c r="C525" t="s">
        <v>3512</v>
      </c>
      <c r="D525" t="s">
        <v>3053</v>
      </c>
      <c r="E525" s="249" t="s">
        <v>3043</v>
      </c>
      <c r="F525">
        <v>523</v>
      </c>
    </row>
    <row r="526" spans="1:6" x14ac:dyDescent="0.25">
      <c r="A526" t="s">
        <v>245</v>
      </c>
      <c r="B526" s="248">
        <v>1442</v>
      </c>
      <c r="C526" t="s">
        <v>3513</v>
      </c>
      <c r="D526" t="s">
        <v>3053</v>
      </c>
      <c r="E526" s="249" t="s">
        <v>3043</v>
      </c>
      <c r="F526">
        <v>524</v>
      </c>
    </row>
    <row r="527" spans="1:6" x14ac:dyDescent="0.25">
      <c r="A527" t="s">
        <v>477</v>
      </c>
      <c r="B527" s="248">
        <v>2052</v>
      </c>
      <c r="C527" t="s">
        <v>3514</v>
      </c>
      <c r="D527" t="s">
        <v>3053</v>
      </c>
      <c r="E527" s="249" t="s">
        <v>3043</v>
      </c>
      <c r="F527">
        <v>525</v>
      </c>
    </row>
    <row r="528" spans="1:6" x14ac:dyDescent="0.25">
      <c r="A528" t="s">
        <v>1041</v>
      </c>
      <c r="B528" s="248">
        <v>16173</v>
      </c>
      <c r="C528" t="s">
        <v>3515</v>
      </c>
      <c r="D528" t="s">
        <v>3053</v>
      </c>
      <c r="E528" s="249" t="s">
        <v>3045</v>
      </c>
      <c r="F528">
        <v>526</v>
      </c>
    </row>
    <row r="529" spans="1:6" x14ac:dyDescent="0.25">
      <c r="A529" t="s">
        <v>870</v>
      </c>
      <c r="B529" s="248">
        <v>3911</v>
      </c>
      <c r="C529" t="s">
        <v>3516</v>
      </c>
      <c r="D529" t="s">
        <v>3053</v>
      </c>
      <c r="E529" s="249" t="s">
        <v>3045</v>
      </c>
      <c r="F529">
        <v>527</v>
      </c>
    </row>
    <row r="530" spans="1:6" x14ac:dyDescent="0.25">
      <c r="A530" t="s">
        <v>916</v>
      </c>
      <c r="B530" s="248">
        <v>4701</v>
      </c>
      <c r="C530" t="s">
        <v>3517</v>
      </c>
      <c r="D530" t="s">
        <v>3053</v>
      </c>
      <c r="E530" s="249" t="s">
        <v>3045</v>
      </c>
      <c r="F530">
        <v>528</v>
      </c>
    </row>
    <row r="531" spans="1:6" x14ac:dyDescent="0.25">
      <c r="A531" t="s">
        <v>1179</v>
      </c>
      <c r="B531" s="248">
        <v>10204</v>
      </c>
      <c r="C531" t="s">
        <v>3518</v>
      </c>
      <c r="D531" t="s">
        <v>3053</v>
      </c>
      <c r="E531" s="249" t="s">
        <v>3046</v>
      </c>
      <c r="F531">
        <v>529</v>
      </c>
    </row>
    <row r="532" spans="1:6" x14ac:dyDescent="0.25">
      <c r="A532" t="s">
        <v>966</v>
      </c>
      <c r="B532" s="248">
        <v>4922</v>
      </c>
      <c r="C532" t="s">
        <v>3519</v>
      </c>
      <c r="D532" t="s">
        <v>3053</v>
      </c>
      <c r="E532" s="249" t="s">
        <v>3045</v>
      </c>
      <c r="F532">
        <v>530</v>
      </c>
    </row>
    <row r="533" spans="1:6" x14ac:dyDescent="0.25">
      <c r="A533" t="s">
        <v>1003</v>
      </c>
      <c r="B533" s="248">
        <v>4922</v>
      </c>
      <c r="C533" t="s">
        <v>3520</v>
      </c>
      <c r="D533" t="s">
        <v>3053</v>
      </c>
      <c r="E533" s="249" t="s">
        <v>3045</v>
      </c>
      <c r="F533">
        <v>531</v>
      </c>
    </row>
    <row r="534" spans="1:6" x14ac:dyDescent="0.25">
      <c r="A534" t="s">
        <v>1251</v>
      </c>
      <c r="B534" s="248">
        <v>10697</v>
      </c>
      <c r="C534" t="s">
        <v>3521</v>
      </c>
      <c r="D534" t="s">
        <v>3053</v>
      </c>
      <c r="E534" s="249" t="s">
        <v>3046</v>
      </c>
      <c r="F534">
        <v>532</v>
      </c>
    </row>
    <row r="535" spans="1:6" x14ac:dyDescent="0.25">
      <c r="A535" t="s">
        <v>2587</v>
      </c>
      <c r="B535" s="248">
        <v>1462</v>
      </c>
      <c r="C535" t="s">
        <v>3522</v>
      </c>
      <c r="D535" t="s">
        <v>3056</v>
      </c>
      <c r="E535" s="249" t="s">
        <v>3028</v>
      </c>
      <c r="F535">
        <v>533</v>
      </c>
    </row>
    <row r="536" spans="1:6" x14ac:dyDescent="0.25">
      <c r="A536" t="s">
        <v>2073</v>
      </c>
      <c r="B536" s="248">
        <v>4802</v>
      </c>
      <c r="C536" t="s">
        <v>3523</v>
      </c>
      <c r="D536" t="s">
        <v>3053</v>
      </c>
      <c r="E536" s="249" t="s">
        <v>3013</v>
      </c>
      <c r="F536">
        <v>534</v>
      </c>
    </row>
    <row r="537" spans="1:6" x14ac:dyDescent="0.25">
      <c r="A537" t="s">
        <v>2127</v>
      </c>
      <c r="B537" s="248">
        <v>1928</v>
      </c>
      <c r="C537" t="s">
        <v>3524</v>
      </c>
      <c r="D537" t="s">
        <v>3053</v>
      </c>
      <c r="E537" s="249" t="s">
        <v>3016</v>
      </c>
      <c r="F537">
        <v>535</v>
      </c>
    </row>
    <row r="538" spans="1:6" x14ac:dyDescent="0.25">
      <c r="A538" t="s">
        <v>2229</v>
      </c>
      <c r="B538" s="248">
        <v>2480</v>
      </c>
      <c r="C538" t="s">
        <v>3525</v>
      </c>
      <c r="D538" t="s">
        <v>3053</v>
      </c>
      <c r="E538" s="249" t="s">
        <v>3016</v>
      </c>
      <c r="F538">
        <v>536</v>
      </c>
    </row>
    <row r="539" spans="1:6" x14ac:dyDescent="0.25">
      <c r="A539" t="s">
        <v>2186</v>
      </c>
      <c r="B539" s="248">
        <v>3694</v>
      </c>
      <c r="C539" t="s">
        <v>3526</v>
      </c>
      <c r="D539" t="s">
        <v>3053</v>
      </c>
      <c r="E539" s="249" t="s">
        <v>3016</v>
      </c>
      <c r="F539">
        <v>537</v>
      </c>
    </row>
    <row r="540" spans="1:6" x14ac:dyDescent="0.25">
      <c r="A540" t="s">
        <v>2130</v>
      </c>
      <c r="B540" s="248">
        <v>2076</v>
      </c>
      <c r="C540" t="s">
        <v>3527</v>
      </c>
      <c r="D540" t="s">
        <v>3053</v>
      </c>
      <c r="E540" s="249" t="s">
        <v>3016</v>
      </c>
      <c r="F540">
        <v>538</v>
      </c>
    </row>
    <row r="541" spans="1:6" x14ac:dyDescent="0.25">
      <c r="A541" t="s">
        <v>2230</v>
      </c>
      <c r="B541" s="248">
        <v>2556</v>
      </c>
      <c r="C541" t="s">
        <v>3528</v>
      </c>
      <c r="D541" t="s">
        <v>3053</v>
      </c>
      <c r="E541" s="249" t="s">
        <v>3016</v>
      </c>
      <c r="F541">
        <v>539</v>
      </c>
    </row>
    <row r="542" spans="1:6" x14ac:dyDescent="0.25">
      <c r="A542" t="s">
        <v>2187</v>
      </c>
      <c r="B542" s="248">
        <v>3980</v>
      </c>
      <c r="C542" t="s">
        <v>3529</v>
      </c>
      <c r="D542" t="s">
        <v>3053</v>
      </c>
      <c r="E542" s="249" t="s">
        <v>3016</v>
      </c>
      <c r="F542">
        <v>540</v>
      </c>
    </row>
    <row r="543" spans="1:6" x14ac:dyDescent="0.25">
      <c r="A543" t="s">
        <v>2133</v>
      </c>
      <c r="B543" s="248">
        <v>2310</v>
      </c>
      <c r="C543" t="s">
        <v>3530</v>
      </c>
      <c r="D543" t="s">
        <v>3053</v>
      </c>
      <c r="E543" s="249" t="s">
        <v>3016</v>
      </c>
      <c r="F543">
        <v>541</v>
      </c>
    </row>
    <row r="544" spans="1:6" x14ac:dyDescent="0.25">
      <c r="A544" t="s">
        <v>2231</v>
      </c>
      <c r="B544" s="248">
        <v>2636</v>
      </c>
      <c r="C544" t="s">
        <v>3531</v>
      </c>
      <c r="D544" t="s">
        <v>3053</v>
      </c>
      <c r="E544" s="249" t="s">
        <v>3016</v>
      </c>
      <c r="F544">
        <v>542</v>
      </c>
    </row>
    <row r="545" spans="1:6" x14ac:dyDescent="0.25">
      <c r="A545" t="s">
        <v>2188</v>
      </c>
      <c r="B545" s="248">
        <v>4019</v>
      </c>
      <c r="C545" t="s">
        <v>3532</v>
      </c>
      <c r="D545" t="s">
        <v>3053</v>
      </c>
      <c r="E545" s="249" t="s">
        <v>3016</v>
      </c>
      <c r="F545">
        <v>543</v>
      </c>
    </row>
    <row r="546" spans="1:6" x14ac:dyDescent="0.25">
      <c r="A546" t="s">
        <v>2967</v>
      </c>
      <c r="B546" s="248">
        <v>166.5</v>
      </c>
      <c r="C546" t="s">
        <v>3533</v>
      </c>
      <c r="D546" t="s">
        <v>3204</v>
      </c>
      <c r="E546" s="249" t="s">
        <v>3020</v>
      </c>
      <c r="F546">
        <v>544</v>
      </c>
    </row>
    <row r="547" spans="1:6" x14ac:dyDescent="0.25">
      <c r="A547" t="s">
        <v>1966</v>
      </c>
      <c r="B547" s="248">
        <v>416</v>
      </c>
      <c r="C547" t="s">
        <v>3534</v>
      </c>
      <c r="D547" t="s">
        <v>3204</v>
      </c>
      <c r="E547" s="249" t="s">
        <v>3001</v>
      </c>
      <c r="F547">
        <v>545</v>
      </c>
    </row>
    <row r="548" spans="1:6" x14ac:dyDescent="0.25">
      <c r="A548" t="s">
        <v>2629</v>
      </c>
      <c r="B548" s="248">
        <v>3683</v>
      </c>
      <c r="C548" t="s">
        <v>3535</v>
      </c>
      <c r="D548" t="s">
        <v>3056</v>
      </c>
      <c r="E548" s="249" t="s">
        <v>3028</v>
      </c>
      <c r="F548">
        <v>546</v>
      </c>
    </row>
    <row r="549" spans="1:6" x14ac:dyDescent="0.25">
      <c r="A549" t="s">
        <v>2640</v>
      </c>
      <c r="B549" s="248">
        <v>9002</v>
      </c>
      <c r="C549" t="s">
        <v>3536</v>
      </c>
      <c r="D549" t="s">
        <v>3056</v>
      </c>
      <c r="E549" s="249" t="s">
        <v>3028</v>
      </c>
      <c r="F549">
        <v>547</v>
      </c>
    </row>
    <row r="550" spans="1:6" x14ac:dyDescent="0.25">
      <c r="A550" t="s">
        <v>2650</v>
      </c>
      <c r="B550" s="248">
        <v>11909</v>
      </c>
      <c r="C550" t="s">
        <v>3537</v>
      </c>
      <c r="D550" t="s">
        <v>3056</v>
      </c>
      <c r="E550" s="249" t="s">
        <v>3028</v>
      </c>
      <c r="F550">
        <v>548</v>
      </c>
    </row>
    <row r="551" spans="1:6" x14ac:dyDescent="0.25">
      <c r="A551" t="s">
        <v>2732</v>
      </c>
      <c r="B551" s="248">
        <v>10021</v>
      </c>
      <c r="C551" t="s">
        <v>3538</v>
      </c>
      <c r="D551" t="s">
        <v>3056</v>
      </c>
      <c r="E551" s="249" t="s">
        <v>3028</v>
      </c>
      <c r="F551">
        <v>549</v>
      </c>
    </row>
    <row r="552" spans="1:6" x14ac:dyDescent="0.25">
      <c r="A552" t="s">
        <v>2668</v>
      </c>
      <c r="B552" s="248">
        <v>6085</v>
      </c>
      <c r="C552" t="s">
        <v>3539</v>
      </c>
      <c r="D552" t="s">
        <v>3056</v>
      </c>
      <c r="E552" s="249" t="s">
        <v>3028</v>
      </c>
      <c r="F552">
        <v>550</v>
      </c>
    </row>
    <row r="553" spans="1:6" x14ac:dyDescent="0.25">
      <c r="A553" t="s">
        <v>2683</v>
      </c>
      <c r="B553" s="248">
        <v>8441</v>
      </c>
      <c r="C553" t="s">
        <v>3540</v>
      </c>
      <c r="D553" t="s">
        <v>3056</v>
      </c>
      <c r="E553" s="249" t="s">
        <v>3028</v>
      </c>
      <c r="F553">
        <v>551</v>
      </c>
    </row>
    <row r="554" spans="1:6" x14ac:dyDescent="0.25">
      <c r="A554" t="s">
        <v>2695</v>
      </c>
      <c r="B554" s="248">
        <v>15120</v>
      </c>
      <c r="C554" t="s">
        <v>3541</v>
      </c>
      <c r="D554" t="s">
        <v>3056</v>
      </c>
      <c r="E554" s="249" t="s">
        <v>3028</v>
      </c>
      <c r="F554">
        <v>552</v>
      </c>
    </row>
    <row r="555" spans="1:6" x14ac:dyDescent="0.25">
      <c r="A555" t="s">
        <v>2750</v>
      </c>
      <c r="B555" s="248">
        <v>7329</v>
      </c>
      <c r="C555" t="s">
        <v>3542</v>
      </c>
      <c r="D555" t="s">
        <v>3056</v>
      </c>
      <c r="E555" s="249" t="s">
        <v>3028</v>
      </c>
      <c r="F555">
        <v>553</v>
      </c>
    </row>
    <row r="556" spans="1:6" x14ac:dyDescent="0.25">
      <c r="A556" t="s">
        <v>2876</v>
      </c>
      <c r="B556" s="248">
        <v>24950</v>
      </c>
      <c r="C556" t="s">
        <v>3543</v>
      </c>
      <c r="D556" t="s">
        <v>3056</v>
      </c>
      <c r="E556" s="249" t="s">
        <v>3028</v>
      </c>
      <c r="F556">
        <v>554</v>
      </c>
    </row>
    <row r="557" spans="1:6" x14ac:dyDescent="0.25">
      <c r="A557" t="s">
        <v>1391</v>
      </c>
      <c r="B557" s="248">
        <v>8135</v>
      </c>
      <c r="C557" t="s">
        <v>3544</v>
      </c>
      <c r="D557" t="s">
        <v>3053</v>
      </c>
      <c r="E557" s="249" t="s">
        <v>3047</v>
      </c>
      <c r="F557">
        <v>555</v>
      </c>
    </row>
    <row r="558" spans="1:6" x14ac:dyDescent="0.25">
      <c r="A558" t="s">
        <v>1661</v>
      </c>
      <c r="B558" s="248">
        <v>17402</v>
      </c>
      <c r="C558" t="s">
        <v>3545</v>
      </c>
      <c r="D558" t="s">
        <v>3053</v>
      </c>
      <c r="E558" s="249" t="s">
        <v>3048</v>
      </c>
      <c r="F558">
        <v>556</v>
      </c>
    </row>
    <row r="559" spans="1:6" x14ac:dyDescent="0.25">
      <c r="A559" t="s">
        <v>1849</v>
      </c>
      <c r="B559" s="248">
        <v>29000</v>
      </c>
      <c r="C559" t="s">
        <v>3546</v>
      </c>
      <c r="D559" t="s">
        <v>3053</v>
      </c>
      <c r="E559" s="249" t="s">
        <v>3049</v>
      </c>
      <c r="F559">
        <v>557</v>
      </c>
    </row>
    <row r="560" spans="1:6" x14ac:dyDescent="0.25">
      <c r="A560" t="s">
        <v>1476</v>
      </c>
      <c r="B560" s="248">
        <v>3569</v>
      </c>
      <c r="C560" t="s">
        <v>3547</v>
      </c>
      <c r="D560" t="s">
        <v>3053</v>
      </c>
      <c r="E560" s="249" t="s">
        <v>3047</v>
      </c>
      <c r="F560">
        <v>558</v>
      </c>
    </row>
    <row r="561" spans="1:6" x14ac:dyDescent="0.25">
      <c r="A561" t="s">
        <v>1491</v>
      </c>
      <c r="B561" s="248">
        <v>3407</v>
      </c>
      <c r="C561" t="s">
        <v>3548</v>
      </c>
      <c r="D561" t="s">
        <v>3053</v>
      </c>
      <c r="E561" s="249" t="s">
        <v>3047</v>
      </c>
      <c r="F561">
        <v>559</v>
      </c>
    </row>
    <row r="562" spans="1:6" x14ac:dyDescent="0.25">
      <c r="A562" t="s">
        <v>1574</v>
      </c>
      <c r="B562" s="248">
        <v>3050</v>
      </c>
      <c r="C562" t="s">
        <v>3549</v>
      </c>
      <c r="D562" t="s">
        <v>3053</v>
      </c>
      <c r="E562" s="249" t="s">
        <v>3047</v>
      </c>
      <c r="F562">
        <v>560</v>
      </c>
    </row>
    <row r="563" spans="1:6" x14ac:dyDescent="0.25">
      <c r="A563" t="s">
        <v>1590</v>
      </c>
      <c r="B563" s="248">
        <v>2910</v>
      </c>
      <c r="C563" t="s">
        <v>3550</v>
      </c>
      <c r="D563" t="s">
        <v>3053</v>
      </c>
      <c r="E563" s="249" t="s">
        <v>3047</v>
      </c>
      <c r="F563">
        <v>561</v>
      </c>
    </row>
    <row r="564" spans="1:6" x14ac:dyDescent="0.25">
      <c r="A564" t="s">
        <v>1711</v>
      </c>
      <c r="B564" s="248">
        <v>8126</v>
      </c>
      <c r="C564" t="s">
        <v>3551</v>
      </c>
      <c r="D564" t="s">
        <v>3053</v>
      </c>
      <c r="E564" s="249" t="s">
        <v>3048</v>
      </c>
      <c r="F564">
        <v>562</v>
      </c>
    </row>
    <row r="565" spans="1:6" x14ac:dyDescent="0.25">
      <c r="A565" t="s">
        <v>1877</v>
      </c>
      <c r="B565" s="248">
        <v>13877</v>
      </c>
      <c r="C565" t="s">
        <v>3552</v>
      </c>
      <c r="D565" t="s">
        <v>3053</v>
      </c>
      <c r="E565" s="249" t="s">
        <v>3049</v>
      </c>
      <c r="F565">
        <v>563</v>
      </c>
    </row>
    <row r="566" spans="1:6" x14ac:dyDescent="0.25">
      <c r="A566" t="s">
        <v>1782</v>
      </c>
      <c r="B566" s="248">
        <v>11165</v>
      </c>
      <c r="C566" t="s">
        <v>3553</v>
      </c>
      <c r="D566" t="s">
        <v>3053</v>
      </c>
      <c r="E566" s="249" t="s">
        <v>3048</v>
      </c>
      <c r="F566">
        <v>564</v>
      </c>
    </row>
    <row r="567" spans="1:6" x14ac:dyDescent="0.25">
      <c r="A567" t="s">
        <v>2081</v>
      </c>
      <c r="B567" s="248">
        <v>11902</v>
      </c>
      <c r="C567" t="s">
        <v>3554</v>
      </c>
      <c r="D567" t="s">
        <v>3053</v>
      </c>
      <c r="E567" s="249" t="s">
        <v>3013</v>
      </c>
      <c r="F567">
        <v>565</v>
      </c>
    </row>
    <row r="568" spans="1:6" x14ac:dyDescent="0.25">
      <c r="A568" t="s">
        <v>2304</v>
      </c>
      <c r="B568" s="248">
        <v>2051</v>
      </c>
      <c r="C568" t="s">
        <v>3555</v>
      </c>
      <c r="D568" t="s">
        <v>3241</v>
      </c>
      <c r="E568" s="249" t="s">
        <v>3020</v>
      </c>
      <c r="F568">
        <v>566</v>
      </c>
    </row>
    <row r="569" spans="1:6" x14ac:dyDescent="0.25">
      <c r="A569" t="s">
        <v>2338</v>
      </c>
      <c r="B569" s="248">
        <v>2256</v>
      </c>
      <c r="C569" t="s">
        <v>3556</v>
      </c>
      <c r="D569" t="s">
        <v>3241</v>
      </c>
      <c r="E569" s="249" t="s">
        <v>3020</v>
      </c>
      <c r="F569">
        <v>567</v>
      </c>
    </row>
    <row r="570" spans="1:6" x14ac:dyDescent="0.25">
      <c r="A570" t="s">
        <v>2368</v>
      </c>
      <c r="B570" s="248">
        <v>4271</v>
      </c>
      <c r="C570" t="s">
        <v>3557</v>
      </c>
      <c r="D570" t="s">
        <v>3241</v>
      </c>
      <c r="E570" s="249" t="s">
        <v>3020</v>
      </c>
      <c r="F570">
        <v>568</v>
      </c>
    </row>
    <row r="571" spans="1:6" x14ac:dyDescent="0.25">
      <c r="A571" t="s">
        <v>2386</v>
      </c>
      <c r="B571" s="248">
        <v>7531</v>
      </c>
      <c r="C571" t="s">
        <v>3558</v>
      </c>
      <c r="D571" t="s">
        <v>3241</v>
      </c>
      <c r="E571" s="249" t="s">
        <v>3020</v>
      </c>
      <c r="F571">
        <v>569</v>
      </c>
    </row>
    <row r="572" spans="1:6" x14ac:dyDescent="0.25">
      <c r="A572" t="s">
        <v>2395</v>
      </c>
      <c r="B572" s="248">
        <v>7971</v>
      </c>
      <c r="C572" t="s">
        <v>3559</v>
      </c>
      <c r="D572" t="s">
        <v>3241</v>
      </c>
      <c r="E572" s="249" t="s">
        <v>3020</v>
      </c>
      <c r="F572">
        <v>570</v>
      </c>
    </row>
    <row r="573" spans="1:6" x14ac:dyDescent="0.25">
      <c r="A573" t="s">
        <v>2351</v>
      </c>
      <c r="B573" s="248">
        <v>2415</v>
      </c>
      <c r="C573" t="s">
        <v>3560</v>
      </c>
      <c r="D573" t="s">
        <v>3241</v>
      </c>
      <c r="E573" s="249" t="s">
        <v>3020</v>
      </c>
      <c r="F573">
        <v>571</v>
      </c>
    </row>
    <row r="574" spans="1:6" x14ac:dyDescent="0.25">
      <c r="A574" t="s">
        <v>2244</v>
      </c>
      <c r="B574" s="248">
        <v>6526</v>
      </c>
      <c r="C574" t="s">
        <v>3561</v>
      </c>
      <c r="D574" t="s">
        <v>3246</v>
      </c>
      <c r="E574" s="249" t="s">
        <v>3018</v>
      </c>
      <c r="F574">
        <v>572</v>
      </c>
    </row>
    <row r="575" spans="1:6" x14ac:dyDescent="0.25">
      <c r="A575" t="s">
        <v>2271</v>
      </c>
      <c r="B575" s="248">
        <v>10202</v>
      </c>
      <c r="C575" t="s">
        <v>3562</v>
      </c>
      <c r="D575" t="s">
        <v>3246</v>
      </c>
      <c r="E575" s="249" t="s">
        <v>3018</v>
      </c>
      <c r="F575">
        <v>573</v>
      </c>
    </row>
    <row r="576" spans="1:6" x14ac:dyDescent="0.25">
      <c r="A576" t="s">
        <v>2285</v>
      </c>
      <c r="B576" s="248">
        <v>10202</v>
      </c>
      <c r="C576" t="s">
        <v>3563</v>
      </c>
      <c r="D576" t="s">
        <v>3246</v>
      </c>
      <c r="E576" s="249" t="s">
        <v>3018</v>
      </c>
      <c r="F576">
        <v>574</v>
      </c>
    </row>
    <row r="577" spans="1:6" x14ac:dyDescent="0.25">
      <c r="A577" t="s">
        <v>2416</v>
      </c>
      <c r="B577" s="248">
        <v>6202</v>
      </c>
      <c r="C577" t="s">
        <v>3564</v>
      </c>
      <c r="D577" t="s">
        <v>3241</v>
      </c>
      <c r="E577" s="249" t="s">
        <v>3020</v>
      </c>
      <c r="F577">
        <v>575</v>
      </c>
    </row>
    <row r="578" spans="1:6" x14ac:dyDescent="0.25">
      <c r="A578" t="s">
        <v>2440</v>
      </c>
      <c r="B578" s="248">
        <v>2721</v>
      </c>
      <c r="C578" t="s">
        <v>3565</v>
      </c>
      <c r="D578" t="s">
        <v>3053</v>
      </c>
      <c r="E578" s="249" t="s">
        <v>3020</v>
      </c>
      <c r="F578">
        <v>576</v>
      </c>
    </row>
    <row r="579" spans="1:6" x14ac:dyDescent="0.25">
      <c r="A579" t="s">
        <v>2427</v>
      </c>
      <c r="B579" s="248">
        <v>8769</v>
      </c>
      <c r="C579" t="s">
        <v>3566</v>
      </c>
      <c r="D579" t="s">
        <v>3241</v>
      </c>
      <c r="E579" s="249" t="s">
        <v>3020</v>
      </c>
      <c r="F579">
        <v>577</v>
      </c>
    </row>
    <row r="580" spans="1:6" x14ac:dyDescent="0.25">
      <c r="A580" t="s">
        <v>393</v>
      </c>
      <c r="B580" s="248">
        <v>3405</v>
      </c>
      <c r="C580" t="s">
        <v>3567</v>
      </c>
      <c r="D580" t="s">
        <v>3053</v>
      </c>
      <c r="E580" s="249" t="s">
        <v>3043</v>
      </c>
      <c r="F580">
        <v>578</v>
      </c>
    </row>
    <row r="581" spans="1:6" x14ac:dyDescent="0.25">
      <c r="A581" t="s">
        <v>248</v>
      </c>
      <c r="B581" s="248">
        <v>2413</v>
      </c>
      <c r="C581" t="s">
        <v>3568</v>
      </c>
      <c r="D581" t="s">
        <v>3053</v>
      </c>
      <c r="E581" s="249" t="s">
        <v>3043</v>
      </c>
      <c r="F581">
        <v>579</v>
      </c>
    </row>
    <row r="582" spans="1:6" x14ac:dyDescent="0.25">
      <c r="A582" t="s">
        <v>478</v>
      </c>
      <c r="B582" s="248">
        <v>3652</v>
      </c>
      <c r="C582" t="s">
        <v>3569</v>
      </c>
      <c r="D582" t="s">
        <v>3053</v>
      </c>
      <c r="E582" s="249" t="s">
        <v>3043</v>
      </c>
      <c r="F582">
        <v>580</v>
      </c>
    </row>
    <row r="583" spans="1:6" x14ac:dyDescent="0.25">
      <c r="A583" t="s">
        <v>1045</v>
      </c>
      <c r="B583" s="248">
        <v>16173</v>
      </c>
      <c r="C583" t="s">
        <v>3570</v>
      </c>
      <c r="D583" t="s">
        <v>3053</v>
      </c>
      <c r="E583" s="249" t="s">
        <v>3045</v>
      </c>
      <c r="F583">
        <v>581</v>
      </c>
    </row>
    <row r="584" spans="1:6" x14ac:dyDescent="0.25">
      <c r="A584" t="s">
        <v>873</v>
      </c>
      <c r="B584" s="248">
        <v>6619</v>
      </c>
      <c r="C584" t="s">
        <v>3571</v>
      </c>
      <c r="D584" t="s">
        <v>3053</v>
      </c>
      <c r="E584" s="249" t="s">
        <v>3045</v>
      </c>
      <c r="F584">
        <v>582</v>
      </c>
    </row>
    <row r="585" spans="1:6" x14ac:dyDescent="0.25">
      <c r="A585" t="s">
        <v>919</v>
      </c>
      <c r="B585" s="248">
        <v>7954</v>
      </c>
      <c r="C585" t="s">
        <v>3572</v>
      </c>
      <c r="D585" t="s">
        <v>3053</v>
      </c>
      <c r="E585" s="249" t="s">
        <v>3045</v>
      </c>
      <c r="F585">
        <v>583</v>
      </c>
    </row>
    <row r="586" spans="1:6" x14ac:dyDescent="0.25">
      <c r="A586" t="s">
        <v>1183</v>
      </c>
      <c r="B586" s="248">
        <v>14645</v>
      </c>
      <c r="C586" t="s">
        <v>3573</v>
      </c>
      <c r="D586" t="s">
        <v>3053</v>
      </c>
      <c r="E586" s="249" t="s">
        <v>3046</v>
      </c>
      <c r="F586">
        <v>584</v>
      </c>
    </row>
    <row r="587" spans="1:6" x14ac:dyDescent="0.25">
      <c r="A587" t="s">
        <v>969</v>
      </c>
      <c r="B587" s="248">
        <v>8897</v>
      </c>
      <c r="C587" t="s">
        <v>3574</v>
      </c>
      <c r="D587" t="s">
        <v>3053</v>
      </c>
      <c r="E587" s="249" t="s">
        <v>3045</v>
      </c>
      <c r="F587">
        <v>585</v>
      </c>
    </row>
    <row r="588" spans="1:6" x14ac:dyDescent="0.25">
      <c r="A588" t="s">
        <v>2074</v>
      </c>
      <c r="B588" s="248">
        <v>9316</v>
      </c>
      <c r="C588" t="s">
        <v>3575</v>
      </c>
      <c r="D588" t="s">
        <v>3053</v>
      </c>
      <c r="E588" s="249" t="s">
        <v>3013</v>
      </c>
      <c r="F588">
        <v>586</v>
      </c>
    </row>
    <row r="589" spans="1:6" x14ac:dyDescent="0.25">
      <c r="A589" t="s">
        <v>2589</v>
      </c>
      <c r="B589" s="248">
        <v>2475</v>
      </c>
      <c r="C589" t="s">
        <v>3576</v>
      </c>
      <c r="D589" t="s">
        <v>3056</v>
      </c>
      <c r="E589" s="249" t="s">
        <v>3028</v>
      </c>
      <c r="F589">
        <v>587</v>
      </c>
    </row>
    <row r="590" spans="1:6" x14ac:dyDescent="0.25">
      <c r="A590" t="s">
        <v>2136</v>
      </c>
      <c r="B590" s="248">
        <v>2860</v>
      </c>
      <c r="C590" t="s">
        <v>3577</v>
      </c>
      <c r="D590" t="s">
        <v>3053</v>
      </c>
      <c r="E590" s="249" t="s">
        <v>3016</v>
      </c>
      <c r="F590">
        <v>588</v>
      </c>
    </row>
    <row r="591" spans="1:6" x14ac:dyDescent="0.25">
      <c r="A591" t="s">
        <v>2232</v>
      </c>
      <c r="B591" s="248">
        <v>3102</v>
      </c>
      <c r="C591" t="s">
        <v>3578</v>
      </c>
      <c r="D591" t="s">
        <v>3053</v>
      </c>
      <c r="E591" s="249" t="s">
        <v>3016</v>
      </c>
      <c r="F591">
        <v>589</v>
      </c>
    </row>
    <row r="592" spans="1:6" x14ac:dyDescent="0.25">
      <c r="A592" t="s">
        <v>2189</v>
      </c>
      <c r="B592" s="248">
        <v>5189</v>
      </c>
      <c r="C592" t="s">
        <v>3579</v>
      </c>
      <c r="D592" t="s">
        <v>3053</v>
      </c>
      <c r="E592" s="249" t="s">
        <v>3016</v>
      </c>
      <c r="F592">
        <v>590</v>
      </c>
    </row>
    <row r="593" spans="1:6" x14ac:dyDescent="0.25">
      <c r="A593" t="s">
        <v>2139</v>
      </c>
      <c r="B593" s="248">
        <v>4587</v>
      </c>
      <c r="C593" t="s">
        <v>3580</v>
      </c>
      <c r="D593" t="s">
        <v>3053</v>
      </c>
      <c r="E593" s="249" t="s">
        <v>3016</v>
      </c>
      <c r="F593">
        <v>591</v>
      </c>
    </row>
    <row r="594" spans="1:6" x14ac:dyDescent="0.25">
      <c r="A594" t="s">
        <v>2190</v>
      </c>
      <c r="B594" s="248">
        <v>5285</v>
      </c>
      <c r="C594" t="s">
        <v>3581</v>
      </c>
      <c r="D594" t="s">
        <v>3053</v>
      </c>
      <c r="E594" s="249" t="s">
        <v>3016</v>
      </c>
      <c r="F594">
        <v>592</v>
      </c>
    </row>
    <row r="595" spans="1:6" x14ac:dyDescent="0.25">
      <c r="A595" t="s">
        <v>2968</v>
      </c>
      <c r="B595" s="248">
        <v>166.5</v>
      </c>
      <c r="C595" t="s">
        <v>3582</v>
      </c>
      <c r="D595" t="s">
        <v>3204</v>
      </c>
      <c r="E595" s="249" t="s">
        <v>3020</v>
      </c>
      <c r="F595">
        <v>593</v>
      </c>
    </row>
    <row r="596" spans="1:6" x14ac:dyDescent="0.25">
      <c r="A596" t="s">
        <v>1979</v>
      </c>
      <c r="B596" s="248">
        <v>914</v>
      </c>
      <c r="C596" t="s">
        <v>3583</v>
      </c>
      <c r="D596" t="s">
        <v>3204</v>
      </c>
      <c r="E596" s="249" t="s">
        <v>3001</v>
      </c>
      <c r="F596">
        <v>594</v>
      </c>
    </row>
    <row r="597" spans="1:6" x14ac:dyDescent="0.25">
      <c r="A597" t="s">
        <v>1957</v>
      </c>
      <c r="B597" s="248">
        <v>2078</v>
      </c>
      <c r="C597" t="s">
        <v>3584</v>
      </c>
      <c r="D597" t="s">
        <v>3204</v>
      </c>
      <c r="E597" s="249" t="s">
        <v>3001</v>
      </c>
      <c r="F597">
        <v>595</v>
      </c>
    </row>
    <row r="598" spans="1:6" x14ac:dyDescent="0.25">
      <c r="A598" t="s">
        <v>1967</v>
      </c>
      <c r="B598" s="248">
        <v>914</v>
      </c>
      <c r="C598" t="s">
        <v>3585</v>
      </c>
      <c r="D598" t="s">
        <v>3204</v>
      </c>
      <c r="E598" s="249" t="s">
        <v>3001</v>
      </c>
      <c r="F598">
        <v>596</v>
      </c>
    </row>
    <row r="599" spans="1:6" x14ac:dyDescent="0.25">
      <c r="A599" t="s">
        <v>2630</v>
      </c>
      <c r="B599" s="248">
        <v>4711</v>
      </c>
      <c r="C599" t="s">
        <v>3586</v>
      </c>
      <c r="D599" t="s">
        <v>3056</v>
      </c>
      <c r="E599" s="249" t="s">
        <v>3028</v>
      </c>
      <c r="F599">
        <v>597</v>
      </c>
    </row>
    <row r="600" spans="1:6" x14ac:dyDescent="0.25">
      <c r="A600" t="s">
        <v>2658</v>
      </c>
      <c r="B600" s="248">
        <v>25024</v>
      </c>
      <c r="C600" t="s">
        <v>3587</v>
      </c>
      <c r="D600" t="s">
        <v>3056</v>
      </c>
      <c r="E600" s="249" t="s">
        <v>3028</v>
      </c>
      <c r="F600">
        <v>598</v>
      </c>
    </row>
    <row r="601" spans="1:6" x14ac:dyDescent="0.25">
      <c r="A601" t="s">
        <v>2641</v>
      </c>
      <c r="B601" s="248">
        <v>12683</v>
      </c>
      <c r="C601" t="s">
        <v>3588</v>
      </c>
      <c r="D601" t="s">
        <v>3056</v>
      </c>
      <c r="E601" s="249" t="s">
        <v>3028</v>
      </c>
      <c r="F601">
        <v>599</v>
      </c>
    </row>
    <row r="602" spans="1:6" x14ac:dyDescent="0.25">
      <c r="A602" t="s">
        <v>2651</v>
      </c>
      <c r="B602" s="248">
        <v>16673</v>
      </c>
      <c r="C602" t="s">
        <v>3589</v>
      </c>
      <c r="D602" t="s">
        <v>3056</v>
      </c>
      <c r="E602" s="249" t="s">
        <v>3028</v>
      </c>
      <c r="F602">
        <v>600</v>
      </c>
    </row>
    <row r="603" spans="1:6" x14ac:dyDescent="0.25">
      <c r="A603" t="s">
        <v>2733</v>
      </c>
      <c r="B603" s="248">
        <v>13028</v>
      </c>
      <c r="C603" t="s">
        <v>3590</v>
      </c>
      <c r="D603" t="s">
        <v>3056</v>
      </c>
      <c r="E603" s="249" t="s">
        <v>3028</v>
      </c>
      <c r="F603">
        <v>601</v>
      </c>
    </row>
    <row r="604" spans="1:6" x14ac:dyDescent="0.25">
      <c r="A604" t="s">
        <v>2669</v>
      </c>
      <c r="B604" s="248">
        <v>7773</v>
      </c>
      <c r="C604" t="s">
        <v>3591</v>
      </c>
      <c r="D604" t="s">
        <v>3056</v>
      </c>
      <c r="E604" s="249" t="s">
        <v>3028</v>
      </c>
      <c r="F604">
        <v>602</v>
      </c>
    </row>
    <row r="605" spans="1:6" x14ac:dyDescent="0.25">
      <c r="A605" t="s">
        <v>2684</v>
      </c>
      <c r="B605" s="248">
        <v>14618</v>
      </c>
      <c r="C605" t="s">
        <v>3592</v>
      </c>
      <c r="D605" t="s">
        <v>3056</v>
      </c>
      <c r="E605" s="249" t="s">
        <v>3028</v>
      </c>
      <c r="F605">
        <v>603</v>
      </c>
    </row>
    <row r="606" spans="1:6" x14ac:dyDescent="0.25">
      <c r="A606" t="s">
        <v>2696</v>
      </c>
      <c r="B606" s="248">
        <v>21410</v>
      </c>
      <c r="C606" t="s">
        <v>3593</v>
      </c>
      <c r="D606" t="s">
        <v>3056</v>
      </c>
      <c r="E606" s="249" t="s">
        <v>3028</v>
      </c>
      <c r="F606">
        <v>604</v>
      </c>
    </row>
    <row r="607" spans="1:6" x14ac:dyDescent="0.25">
      <c r="A607" t="s">
        <v>2751</v>
      </c>
      <c r="B607" s="248">
        <v>10449</v>
      </c>
      <c r="C607" t="s">
        <v>3594</v>
      </c>
      <c r="D607" t="s">
        <v>3056</v>
      </c>
      <c r="E607" s="249" t="s">
        <v>3028</v>
      </c>
      <c r="F607">
        <v>605</v>
      </c>
    </row>
    <row r="608" spans="1:6" x14ac:dyDescent="0.25">
      <c r="A608" t="s">
        <v>2877</v>
      </c>
      <c r="B608" s="248">
        <v>32385</v>
      </c>
      <c r="C608" t="s">
        <v>3595</v>
      </c>
      <c r="D608" t="s">
        <v>3056</v>
      </c>
      <c r="E608" s="249" t="s">
        <v>3028</v>
      </c>
      <c r="F608">
        <v>606</v>
      </c>
    </row>
    <row r="609" spans="1:6" x14ac:dyDescent="0.25">
      <c r="A609" t="s">
        <v>1393</v>
      </c>
      <c r="B609" s="248">
        <v>17866</v>
      </c>
      <c r="C609" t="s">
        <v>3596</v>
      </c>
      <c r="D609" t="s">
        <v>3053</v>
      </c>
      <c r="E609" s="249" t="s">
        <v>3047</v>
      </c>
      <c r="F609">
        <v>607</v>
      </c>
    </row>
    <row r="610" spans="1:6" x14ac:dyDescent="0.25">
      <c r="A610" t="s">
        <v>1663</v>
      </c>
      <c r="B610" s="248">
        <v>34797</v>
      </c>
      <c r="C610" t="s">
        <v>3597</v>
      </c>
      <c r="D610" t="s">
        <v>3053</v>
      </c>
      <c r="E610" s="249" t="s">
        <v>3048</v>
      </c>
      <c r="F610">
        <v>608</v>
      </c>
    </row>
    <row r="611" spans="1:6" x14ac:dyDescent="0.25">
      <c r="A611" t="s">
        <v>1478</v>
      </c>
      <c r="B611" s="248">
        <v>6365</v>
      </c>
      <c r="C611" t="s">
        <v>3598</v>
      </c>
      <c r="D611" t="s">
        <v>3053</v>
      </c>
      <c r="E611" s="249" t="s">
        <v>3047</v>
      </c>
      <c r="F611">
        <v>609</v>
      </c>
    </row>
    <row r="612" spans="1:6" x14ac:dyDescent="0.25">
      <c r="A612" t="s">
        <v>1492</v>
      </c>
      <c r="B612" s="248">
        <v>6074</v>
      </c>
      <c r="C612" t="s">
        <v>3599</v>
      </c>
      <c r="D612" t="s">
        <v>3053</v>
      </c>
      <c r="E612" s="249" t="s">
        <v>3047</v>
      </c>
      <c r="F612">
        <v>610</v>
      </c>
    </row>
    <row r="613" spans="1:6" x14ac:dyDescent="0.25">
      <c r="A613" t="s">
        <v>1576</v>
      </c>
      <c r="B613" s="248">
        <v>5846</v>
      </c>
      <c r="C613" t="s">
        <v>3600</v>
      </c>
      <c r="D613" t="s">
        <v>3053</v>
      </c>
      <c r="E613" s="249" t="s">
        <v>3047</v>
      </c>
      <c r="F613">
        <v>611</v>
      </c>
    </row>
    <row r="614" spans="1:6" x14ac:dyDescent="0.25">
      <c r="A614" t="s">
        <v>1591</v>
      </c>
      <c r="B614" s="248">
        <v>5579</v>
      </c>
      <c r="C614" t="s">
        <v>3601</v>
      </c>
      <c r="D614" t="s">
        <v>3053</v>
      </c>
      <c r="E614" s="249" t="s">
        <v>3047</v>
      </c>
      <c r="F614">
        <v>612</v>
      </c>
    </row>
    <row r="615" spans="1:6" x14ac:dyDescent="0.25">
      <c r="A615" t="s">
        <v>1713</v>
      </c>
      <c r="B615" s="248">
        <v>12156</v>
      </c>
      <c r="C615" t="s">
        <v>3602</v>
      </c>
      <c r="D615" t="s">
        <v>3053</v>
      </c>
      <c r="E615" s="249" t="s">
        <v>3048</v>
      </c>
      <c r="F615">
        <v>613</v>
      </c>
    </row>
    <row r="616" spans="1:6" x14ac:dyDescent="0.25">
      <c r="A616" t="s">
        <v>1784</v>
      </c>
      <c r="B616" s="248">
        <v>18590</v>
      </c>
      <c r="C616" t="s">
        <v>3603</v>
      </c>
      <c r="D616" t="s">
        <v>3053</v>
      </c>
      <c r="E616" s="249" t="s">
        <v>3048</v>
      </c>
      <c r="F616">
        <v>614</v>
      </c>
    </row>
    <row r="617" spans="1:6" x14ac:dyDescent="0.25">
      <c r="A617" t="s">
        <v>2082</v>
      </c>
      <c r="B617" s="248">
        <v>17444</v>
      </c>
      <c r="C617" t="s">
        <v>3604</v>
      </c>
      <c r="D617" t="s">
        <v>3053</v>
      </c>
      <c r="E617" s="249" t="s">
        <v>3013</v>
      </c>
      <c r="F617">
        <v>615</v>
      </c>
    </row>
    <row r="618" spans="1:6" x14ac:dyDescent="0.25">
      <c r="A618" t="s">
        <v>2305</v>
      </c>
      <c r="B618" s="248">
        <v>3373</v>
      </c>
      <c r="C618" t="s">
        <v>3605</v>
      </c>
      <c r="D618" t="s">
        <v>3241</v>
      </c>
      <c r="E618" s="249" t="s">
        <v>3020</v>
      </c>
      <c r="F618">
        <v>616</v>
      </c>
    </row>
    <row r="619" spans="1:6" x14ac:dyDescent="0.25">
      <c r="A619" t="s">
        <v>2339</v>
      </c>
      <c r="B619" s="248">
        <v>3572</v>
      </c>
      <c r="C619" t="s">
        <v>3606</v>
      </c>
      <c r="D619" t="s">
        <v>3241</v>
      </c>
      <c r="E619" s="249" t="s">
        <v>3020</v>
      </c>
      <c r="F619">
        <v>617</v>
      </c>
    </row>
    <row r="620" spans="1:6" x14ac:dyDescent="0.25">
      <c r="A620" t="s">
        <v>2369</v>
      </c>
      <c r="B620" s="248">
        <v>6434</v>
      </c>
      <c r="C620" t="s">
        <v>3607</v>
      </c>
      <c r="D620" t="s">
        <v>3241</v>
      </c>
      <c r="E620" s="249" t="s">
        <v>3020</v>
      </c>
      <c r="F620">
        <v>618</v>
      </c>
    </row>
    <row r="621" spans="1:6" x14ac:dyDescent="0.25">
      <c r="A621" t="s">
        <v>2387</v>
      </c>
      <c r="B621" s="248">
        <v>11292</v>
      </c>
      <c r="C621" t="s">
        <v>3608</v>
      </c>
      <c r="D621" t="s">
        <v>3241</v>
      </c>
      <c r="E621" s="249" t="s">
        <v>3020</v>
      </c>
      <c r="F621">
        <v>619</v>
      </c>
    </row>
    <row r="622" spans="1:6" x14ac:dyDescent="0.25">
      <c r="A622" t="s">
        <v>2396</v>
      </c>
      <c r="B622" s="248">
        <v>11777</v>
      </c>
      <c r="C622" t="s">
        <v>3609</v>
      </c>
      <c r="D622" t="s">
        <v>3241</v>
      </c>
      <c r="E622" s="249" t="s">
        <v>3020</v>
      </c>
      <c r="F622">
        <v>620</v>
      </c>
    </row>
    <row r="623" spans="1:6" x14ac:dyDescent="0.25">
      <c r="A623" t="s">
        <v>2352</v>
      </c>
      <c r="B623" s="248">
        <v>3815</v>
      </c>
      <c r="C623" t="s">
        <v>3610</v>
      </c>
      <c r="D623" t="s">
        <v>3241</v>
      </c>
      <c r="E623" s="249" t="s">
        <v>3020</v>
      </c>
      <c r="F623">
        <v>621</v>
      </c>
    </row>
    <row r="624" spans="1:6" x14ac:dyDescent="0.25">
      <c r="A624" t="s">
        <v>2245</v>
      </c>
      <c r="B624" s="248">
        <v>10757</v>
      </c>
      <c r="C624" t="s">
        <v>3611</v>
      </c>
      <c r="D624" t="s">
        <v>3246</v>
      </c>
      <c r="E624" s="249" t="s">
        <v>3018</v>
      </c>
      <c r="F624">
        <v>622</v>
      </c>
    </row>
    <row r="625" spans="1:6" x14ac:dyDescent="0.25">
      <c r="A625" t="s">
        <v>2272</v>
      </c>
      <c r="B625" s="248">
        <v>16756</v>
      </c>
      <c r="C625" t="s">
        <v>3612</v>
      </c>
      <c r="D625" t="s">
        <v>3246</v>
      </c>
      <c r="E625" s="249" t="s">
        <v>3018</v>
      </c>
      <c r="F625">
        <v>623</v>
      </c>
    </row>
    <row r="626" spans="1:6" x14ac:dyDescent="0.25">
      <c r="A626" t="s">
        <v>2286</v>
      </c>
      <c r="B626" s="248">
        <v>16756</v>
      </c>
      <c r="C626" t="s">
        <v>3613</v>
      </c>
      <c r="D626" t="s">
        <v>3246</v>
      </c>
      <c r="E626" s="249" t="s">
        <v>3018</v>
      </c>
      <c r="F626">
        <v>624</v>
      </c>
    </row>
    <row r="627" spans="1:6" x14ac:dyDescent="0.25">
      <c r="A627" t="s">
        <v>2441</v>
      </c>
      <c r="B627" s="248">
        <v>3537</v>
      </c>
      <c r="C627" t="s">
        <v>3614</v>
      </c>
      <c r="D627" t="s">
        <v>3053</v>
      </c>
      <c r="E627" s="249" t="s">
        <v>3020</v>
      </c>
      <c r="F627">
        <v>625</v>
      </c>
    </row>
    <row r="628" spans="1:6" x14ac:dyDescent="0.25">
      <c r="A628" t="s">
        <v>396</v>
      </c>
      <c r="B628" s="248">
        <v>6368</v>
      </c>
      <c r="C628" t="s">
        <v>3615</v>
      </c>
      <c r="D628" t="s">
        <v>3053</v>
      </c>
      <c r="E628" s="249" t="s">
        <v>3043</v>
      </c>
      <c r="F628">
        <v>626</v>
      </c>
    </row>
    <row r="629" spans="1:6" x14ac:dyDescent="0.25">
      <c r="A629" t="s">
        <v>251</v>
      </c>
      <c r="B629" s="248">
        <v>4392</v>
      </c>
      <c r="C629" t="s">
        <v>3616</v>
      </c>
      <c r="D629" t="s">
        <v>3053</v>
      </c>
      <c r="E629" s="249" t="s">
        <v>3043</v>
      </c>
      <c r="F629">
        <v>627</v>
      </c>
    </row>
    <row r="630" spans="1:6" x14ac:dyDescent="0.25">
      <c r="A630" t="s">
        <v>479</v>
      </c>
      <c r="B630" s="248">
        <v>6077</v>
      </c>
      <c r="C630" t="s">
        <v>3617</v>
      </c>
      <c r="D630" t="s">
        <v>3053</v>
      </c>
      <c r="E630" s="249" t="s">
        <v>3043</v>
      </c>
      <c r="F630">
        <v>628</v>
      </c>
    </row>
    <row r="631" spans="1:6" x14ac:dyDescent="0.25">
      <c r="A631" t="s">
        <v>875</v>
      </c>
      <c r="B631" s="248">
        <v>9886</v>
      </c>
      <c r="C631" t="s">
        <v>3618</v>
      </c>
      <c r="D631" t="s">
        <v>3053</v>
      </c>
      <c r="E631" s="249" t="s">
        <v>3045</v>
      </c>
      <c r="F631">
        <v>629</v>
      </c>
    </row>
    <row r="632" spans="1:6" x14ac:dyDescent="0.25">
      <c r="A632" t="s">
        <v>921</v>
      </c>
      <c r="B632" s="248">
        <v>11909</v>
      </c>
      <c r="C632" t="s">
        <v>3619</v>
      </c>
      <c r="D632" t="s">
        <v>3053</v>
      </c>
      <c r="E632" s="249" t="s">
        <v>3045</v>
      </c>
      <c r="F632">
        <v>630</v>
      </c>
    </row>
    <row r="633" spans="1:6" x14ac:dyDescent="0.25">
      <c r="A633" t="s">
        <v>1187</v>
      </c>
      <c r="B633" s="248">
        <v>21241</v>
      </c>
      <c r="C633" t="s">
        <v>3620</v>
      </c>
      <c r="D633" t="s">
        <v>3053</v>
      </c>
      <c r="E633" s="249" t="s">
        <v>3046</v>
      </c>
      <c r="F633">
        <v>631</v>
      </c>
    </row>
    <row r="634" spans="1:6" x14ac:dyDescent="0.25">
      <c r="A634" t="s">
        <v>972</v>
      </c>
      <c r="B634" s="248">
        <v>15218</v>
      </c>
      <c r="C634" t="s">
        <v>3621</v>
      </c>
      <c r="D634" t="s">
        <v>3053</v>
      </c>
      <c r="E634" s="249" t="s">
        <v>3045</v>
      </c>
      <c r="F634">
        <v>632</v>
      </c>
    </row>
    <row r="635" spans="1:6" x14ac:dyDescent="0.25">
      <c r="A635" t="s">
        <v>2075</v>
      </c>
      <c r="B635" s="248">
        <v>14019</v>
      </c>
      <c r="C635" t="s">
        <v>3622</v>
      </c>
      <c r="D635" t="s">
        <v>3053</v>
      </c>
      <c r="E635" s="249" t="s">
        <v>3013</v>
      </c>
      <c r="F635">
        <v>633</v>
      </c>
    </row>
    <row r="636" spans="1:6" x14ac:dyDescent="0.25">
      <c r="A636" t="s">
        <v>2146</v>
      </c>
      <c r="B636" s="248">
        <v>6450</v>
      </c>
      <c r="C636" t="s">
        <v>3623</v>
      </c>
      <c r="D636" t="s">
        <v>3053</v>
      </c>
      <c r="E636" s="249" t="s">
        <v>3016</v>
      </c>
      <c r="F636">
        <v>634</v>
      </c>
    </row>
    <row r="637" spans="1:6" x14ac:dyDescent="0.25">
      <c r="A637" t="s">
        <v>2192</v>
      </c>
      <c r="B637" s="248">
        <v>9951</v>
      </c>
      <c r="C637" t="s">
        <v>3624</v>
      </c>
      <c r="D637" t="s">
        <v>3053</v>
      </c>
      <c r="E637" s="249" t="s">
        <v>3016</v>
      </c>
      <c r="F637">
        <v>635</v>
      </c>
    </row>
    <row r="638" spans="1:6" x14ac:dyDescent="0.25">
      <c r="A638" t="s">
        <v>2143</v>
      </c>
      <c r="B638" s="248">
        <v>5474</v>
      </c>
      <c r="C638" t="s">
        <v>3625</v>
      </c>
      <c r="D638" t="s">
        <v>3053</v>
      </c>
      <c r="E638" s="249" t="s">
        <v>3016</v>
      </c>
      <c r="F638">
        <v>636</v>
      </c>
    </row>
    <row r="639" spans="1:6" x14ac:dyDescent="0.25">
      <c r="A639" t="s">
        <v>2191</v>
      </c>
      <c r="B639" s="248">
        <v>7189</v>
      </c>
      <c r="C639" t="s">
        <v>3626</v>
      </c>
      <c r="D639" t="s">
        <v>3053</v>
      </c>
      <c r="E639" s="249" t="s">
        <v>3016</v>
      </c>
      <c r="F639">
        <v>637</v>
      </c>
    </row>
    <row r="640" spans="1:6" x14ac:dyDescent="0.25">
      <c r="A640" t="s">
        <v>2477</v>
      </c>
      <c r="B640" s="248">
        <v>914</v>
      </c>
      <c r="C640" t="s">
        <v>3627</v>
      </c>
      <c r="D640" t="s">
        <v>3204</v>
      </c>
      <c r="E640" s="249" t="s">
        <v>3020</v>
      </c>
      <c r="F640">
        <v>638</v>
      </c>
    </row>
    <row r="641" spans="1:6" x14ac:dyDescent="0.25">
      <c r="A641" t="s">
        <v>2454</v>
      </c>
      <c r="B641" s="248">
        <v>416</v>
      </c>
      <c r="C641" t="s">
        <v>3628</v>
      </c>
      <c r="D641" t="s">
        <v>3204</v>
      </c>
      <c r="E641" s="249" t="s">
        <v>3020</v>
      </c>
      <c r="F641">
        <v>639</v>
      </c>
    </row>
    <row r="642" spans="1:6" x14ac:dyDescent="0.25">
      <c r="A642" t="s">
        <v>2975</v>
      </c>
      <c r="B642" s="248">
        <v>250</v>
      </c>
      <c r="C642" t="s">
        <v>3629</v>
      </c>
      <c r="D642" t="s">
        <v>3204</v>
      </c>
      <c r="E642" s="249" t="s">
        <v>3020</v>
      </c>
      <c r="F642">
        <v>640</v>
      </c>
    </row>
    <row r="643" spans="1:6" x14ac:dyDescent="0.25">
      <c r="A643" t="s">
        <v>2468</v>
      </c>
      <c r="B643" s="248">
        <v>1080</v>
      </c>
      <c r="C643" t="s">
        <v>3630</v>
      </c>
      <c r="D643" t="s">
        <v>3204</v>
      </c>
      <c r="E643" s="249" t="s">
        <v>3020</v>
      </c>
      <c r="F643">
        <v>641</v>
      </c>
    </row>
    <row r="644" spans="1:6" x14ac:dyDescent="0.25">
      <c r="A644" t="s">
        <v>1980</v>
      </c>
      <c r="B644" s="248">
        <v>2492</v>
      </c>
      <c r="C644" t="s">
        <v>3631</v>
      </c>
      <c r="D644" t="s">
        <v>3204</v>
      </c>
      <c r="E644" s="249" t="s">
        <v>3001</v>
      </c>
      <c r="F644">
        <v>642</v>
      </c>
    </row>
    <row r="645" spans="1:6" x14ac:dyDescent="0.25">
      <c r="A645" t="s">
        <v>1958</v>
      </c>
      <c r="B645" s="248">
        <v>2078</v>
      </c>
      <c r="C645" t="s">
        <v>3632</v>
      </c>
      <c r="D645" t="s">
        <v>3204</v>
      </c>
      <c r="E645" s="249" t="s">
        <v>3001</v>
      </c>
      <c r="F645">
        <v>643</v>
      </c>
    </row>
    <row r="646" spans="1:6" x14ac:dyDescent="0.25">
      <c r="A646" t="s">
        <v>926</v>
      </c>
      <c r="B646" s="248">
        <v>95</v>
      </c>
      <c r="C646" t="s">
        <v>3633</v>
      </c>
      <c r="D646" t="s">
        <v>3204</v>
      </c>
      <c r="E646" s="249" t="s">
        <v>3045</v>
      </c>
      <c r="F646">
        <v>644</v>
      </c>
    </row>
    <row r="647" spans="1:6" x14ac:dyDescent="0.25">
      <c r="A647" t="s">
        <v>2670</v>
      </c>
      <c r="B647" s="248">
        <v>12837</v>
      </c>
      <c r="C647" t="s">
        <v>3634</v>
      </c>
      <c r="D647" t="s">
        <v>3056</v>
      </c>
      <c r="E647" s="249" t="s">
        <v>3028</v>
      </c>
      <c r="F647">
        <v>645</v>
      </c>
    </row>
    <row r="648" spans="1:6" x14ac:dyDescent="0.25">
      <c r="A648" t="s">
        <v>2685</v>
      </c>
      <c r="B648" s="248">
        <v>17952</v>
      </c>
      <c r="C648" t="s">
        <v>3635</v>
      </c>
      <c r="D648" t="s">
        <v>3056</v>
      </c>
      <c r="E648" s="249" t="s">
        <v>3028</v>
      </c>
      <c r="F648">
        <v>646</v>
      </c>
    </row>
    <row r="649" spans="1:6" x14ac:dyDescent="0.25">
      <c r="A649" t="s">
        <v>2697</v>
      </c>
      <c r="B649" s="248">
        <v>26336</v>
      </c>
      <c r="C649" t="s">
        <v>3636</v>
      </c>
      <c r="D649" t="s">
        <v>3056</v>
      </c>
      <c r="E649" s="249" t="s">
        <v>3028</v>
      </c>
      <c r="F649">
        <v>647</v>
      </c>
    </row>
    <row r="650" spans="1:6" x14ac:dyDescent="0.25">
      <c r="A650" t="s">
        <v>2752</v>
      </c>
      <c r="B650" s="248">
        <v>17407</v>
      </c>
      <c r="C650" t="s">
        <v>3637</v>
      </c>
      <c r="D650" t="s">
        <v>3056</v>
      </c>
      <c r="E650" s="249" t="s">
        <v>3028</v>
      </c>
      <c r="F650">
        <v>648</v>
      </c>
    </row>
    <row r="651" spans="1:6" x14ac:dyDescent="0.25">
      <c r="A651" t="s">
        <v>2878</v>
      </c>
      <c r="B651" s="248">
        <v>59671</v>
      </c>
      <c r="C651" t="s">
        <v>3638</v>
      </c>
      <c r="D651" t="s">
        <v>3056</v>
      </c>
      <c r="E651" s="249" t="s">
        <v>3028</v>
      </c>
      <c r="F651">
        <v>649</v>
      </c>
    </row>
    <row r="652" spans="1:6" x14ac:dyDescent="0.25">
      <c r="A652" t="s">
        <v>1480</v>
      </c>
      <c r="B652" s="248">
        <v>11032</v>
      </c>
      <c r="C652" t="s">
        <v>3639</v>
      </c>
      <c r="D652" t="s">
        <v>3053</v>
      </c>
      <c r="E652" s="249" t="s">
        <v>3047</v>
      </c>
      <c r="F652">
        <v>650</v>
      </c>
    </row>
    <row r="653" spans="1:6" x14ac:dyDescent="0.25">
      <c r="A653" t="s">
        <v>1493</v>
      </c>
      <c r="B653" s="248">
        <v>10528</v>
      </c>
      <c r="C653" t="s">
        <v>3640</v>
      </c>
      <c r="D653" t="s">
        <v>3053</v>
      </c>
      <c r="E653" s="249" t="s">
        <v>3047</v>
      </c>
      <c r="F653">
        <v>651</v>
      </c>
    </row>
    <row r="654" spans="1:6" x14ac:dyDescent="0.25">
      <c r="A654" t="s">
        <v>1577</v>
      </c>
      <c r="B654" s="248">
        <v>9452</v>
      </c>
      <c r="C654" t="s">
        <v>3641</v>
      </c>
      <c r="D654" t="s">
        <v>3053</v>
      </c>
      <c r="E654" s="249" t="s">
        <v>3047</v>
      </c>
      <c r="F654">
        <v>652</v>
      </c>
    </row>
    <row r="655" spans="1:6" x14ac:dyDescent="0.25">
      <c r="A655" t="s">
        <v>1592</v>
      </c>
      <c r="B655" s="248">
        <v>9020</v>
      </c>
      <c r="C655" t="s">
        <v>3642</v>
      </c>
      <c r="D655" t="s">
        <v>3053</v>
      </c>
      <c r="E655" s="249" t="s">
        <v>3047</v>
      </c>
      <c r="F655">
        <v>653</v>
      </c>
    </row>
    <row r="656" spans="1:6" x14ac:dyDescent="0.25">
      <c r="A656" t="s">
        <v>1715</v>
      </c>
      <c r="B656" s="248">
        <v>22638</v>
      </c>
      <c r="C656" t="s">
        <v>3643</v>
      </c>
      <c r="D656" t="s">
        <v>3053</v>
      </c>
      <c r="E656" s="249" t="s">
        <v>3048</v>
      </c>
      <c r="F656">
        <v>654</v>
      </c>
    </row>
    <row r="657" spans="1:6" x14ac:dyDescent="0.25">
      <c r="A657" t="s">
        <v>1785</v>
      </c>
      <c r="B657" s="248">
        <v>37689</v>
      </c>
      <c r="C657" t="s">
        <v>3644</v>
      </c>
      <c r="D657" t="s">
        <v>3053</v>
      </c>
      <c r="E657" s="249" t="s">
        <v>3048</v>
      </c>
      <c r="F657">
        <v>655</v>
      </c>
    </row>
    <row r="658" spans="1:6" x14ac:dyDescent="0.25">
      <c r="A658" t="s">
        <v>2083</v>
      </c>
      <c r="B658" s="248">
        <v>35623</v>
      </c>
      <c r="C658" t="s">
        <v>3645</v>
      </c>
      <c r="D658" t="s">
        <v>3053</v>
      </c>
      <c r="E658" s="249" t="s">
        <v>3013</v>
      </c>
      <c r="F658">
        <v>656</v>
      </c>
    </row>
    <row r="659" spans="1:6" x14ac:dyDescent="0.25">
      <c r="A659" t="s">
        <v>2306</v>
      </c>
      <c r="B659" s="248">
        <v>4587</v>
      </c>
      <c r="C659" t="s">
        <v>3646</v>
      </c>
      <c r="D659" t="s">
        <v>3241</v>
      </c>
      <c r="E659" s="249" t="s">
        <v>3020</v>
      </c>
      <c r="F659">
        <v>657</v>
      </c>
    </row>
    <row r="660" spans="1:6" x14ac:dyDescent="0.25">
      <c r="A660" t="s">
        <v>2340</v>
      </c>
      <c r="B660" s="248">
        <v>4854</v>
      </c>
      <c r="C660" t="s">
        <v>3647</v>
      </c>
      <c r="D660" t="s">
        <v>3241</v>
      </c>
      <c r="E660" s="249" t="s">
        <v>3020</v>
      </c>
      <c r="F660">
        <v>658</v>
      </c>
    </row>
    <row r="661" spans="1:6" x14ac:dyDescent="0.25">
      <c r="A661" t="s">
        <v>2370</v>
      </c>
      <c r="B661" s="248">
        <v>9324</v>
      </c>
      <c r="C661" t="s">
        <v>3648</v>
      </c>
      <c r="D661" t="s">
        <v>3241</v>
      </c>
      <c r="E661" s="249" t="s">
        <v>3020</v>
      </c>
      <c r="F661">
        <v>659</v>
      </c>
    </row>
    <row r="662" spans="1:6" x14ac:dyDescent="0.25">
      <c r="A662" t="s">
        <v>2388</v>
      </c>
      <c r="B662" s="248">
        <v>17502</v>
      </c>
      <c r="C662" t="s">
        <v>3649</v>
      </c>
      <c r="D662" t="s">
        <v>3241</v>
      </c>
      <c r="E662" s="249" t="s">
        <v>3020</v>
      </c>
      <c r="F662">
        <v>660</v>
      </c>
    </row>
    <row r="663" spans="1:6" x14ac:dyDescent="0.25">
      <c r="A663" t="s">
        <v>2353</v>
      </c>
      <c r="B663" s="248">
        <v>5090</v>
      </c>
      <c r="C663" t="s">
        <v>3650</v>
      </c>
      <c r="D663" t="s">
        <v>3241</v>
      </c>
      <c r="E663" s="249" t="s">
        <v>3020</v>
      </c>
      <c r="F663">
        <v>661</v>
      </c>
    </row>
    <row r="664" spans="1:6" x14ac:dyDescent="0.25">
      <c r="A664" t="s">
        <v>2246</v>
      </c>
      <c r="B664" s="248">
        <v>16587</v>
      </c>
      <c r="C664" t="s">
        <v>3651</v>
      </c>
      <c r="D664" t="s">
        <v>3246</v>
      </c>
      <c r="E664" s="249" t="s">
        <v>3018</v>
      </c>
      <c r="F664">
        <v>662</v>
      </c>
    </row>
    <row r="665" spans="1:6" x14ac:dyDescent="0.25">
      <c r="A665" t="s">
        <v>2273</v>
      </c>
      <c r="B665" s="248">
        <v>25898</v>
      </c>
      <c r="C665" t="s">
        <v>3652</v>
      </c>
      <c r="D665" t="s">
        <v>3246</v>
      </c>
      <c r="E665" s="249" t="s">
        <v>3018</v>
      </c>
      <c r="F665">
        <v>663</v>
      </c>
    </row>
    <row r="666" spans="1:6" x14ac:dyDescent="0.25">
      <c r="A666" t="s">
        <v>2418</v>
      </c>
      <c r="B666" s="248">
        <v>9830</v>
      </c>
      <c r="C666" t="s">
        <v>3653</v>
      </c>
      <c r="D666" t="s">
        <v>3241</v>
      </c>
      <c r="E666" s="249" t="s">
        <v>3020</v>
      </c>
      <c r="F666">
        <v>664</v>
      </c>
    </row>
    <row r="667" spans="1:6" x14ac:dyDescent="0.25">
      <c r="A667" t="s">
        <v>2442</v>
      </c>
      <c r="B667" s="248">
        <v>5305</v>
      </c>
      <c r="C667" t="s">
        <v>3654</v>
      </c>
      <c r="D667" t="s">
        <v>3053</v>
      </c>
      <c r="E667" s="249" t="s">
        <v>3020</v>
      </c>
      <c r="F667">
        <v>665</v>
      </c>
    </row>
    <row r="668" spans="1:6" x14ac:dyDescent="0.25">
      <c r="A668" t="s">
        <v>398</v>
      </c>
      <c r="B668" s="248">
        <v>9479</v>
      </c>
      <c r="C668" t="s">
        <v>3655</v>
      </c>
      <c r="D668" t="s">
        <v>3053</v>
      </c>
      <c r="E668" s="249" t="s">
        <v>3043</v>
      </c>
      <c r="F668">
        <v>666</v>
      </c>
    </row>
    <row r="669" spans="1:6" x14ac:dyDescent="0.25">
      <c r="A669" t="s">
        <v>254</v>
      </c>
      <c r="B669" s="248">
        <v>6590</v>
      </c>
      <c r="C669" t="s">
        <v>3656</v>
      </c>
      <c r="D669" t="s">
        <v>3053</v>
      </c>
      <c r="E669" s="249" t="s">
        <v>3043</v>
      </c>
      <c r="F669">
        <v>667</v>
      </c>
    </row>
    <row r="670" spans="1:6" x14ac:dyDescent="0.25">
      <c r="A670" t="s">
        <v>480</v>
      </c>
      <c r="B670" s="248">
        <v>8152</v>
      </c>
      <c r="C670" t="s">
        <v>3657</v>
      </c>
      <c r="D670" t="s">
        <v>3053</v>
      </c>
      <c r="E670" s="249" t="s">
        <v>3043</v>
      </c>
      <c r="F670">
        <v>668</v>
      </c>
    </row>
    <row r="671" spans="1:6" x14ac:dyDescent="0.25">
      <c r="A671" t="s">
        <v>878</v>
      </c>
      <c r="B671" s="248">
        <v>14585</v>
      </c>
      <c r="C671" t="s">
        <v>3658</v>
      </c>
      <c r="D671" t="s">
        <v>3053</v>
      </c>
      <c r="E671" s="249" t="s">
        <v>3045</v>
      </c>
      <c r="F671">
        <v>669</v>
      </c>
    </row>
    <row r="672" spans="1:6" x14ac:dyDescent="0.25">
      <c r="A672" t="s">
        <v>1191</v>
      </c>
      <c r="B672" s="248">
        <v>31859</v>
      </c>
      <c r="C672" t="s">
        <v>3659</v>
      </c>
      <c r="D672" t="s">
        <v>3053</v>
      </c>
      <c r="E672" s="249" t="s">
        <v>3046</v>
      </c>
      <c r="F672">
        <v>670</v>
      </c>
    </row>
    <row r="673" spans="1:6" x14ac:dyDescent="0.25">
      <c r="A673" t="s">
        <v>974</v>
      </c>
      <c r="B673" s="248">
        <v>23868</v>
      </c>
      <c r="C673" t="s">
        <v>3660</v>
      </c>
      <c r="D673" t="s">
        <v>3053</v>
      </c>
      <c r="E673" s="249" t="s">
        <v>3045</v>
      </c>
      <c r="F673">
        <v>671</v>
      </c>
    </row>
    <row r="674" spans="1:6" x14ac:dyDescent="0.25">
      <c r="A674" t="s">
        <v>1006</v>
      </c>
      <c r="B674" s="248">
        <v>25980</v>
      </c>
      <c r="C674" t="s">
        <v>3661</v>
      </c>
      <c r="D674" t="s">
        <v>3053</v>
      </c>
      <c r="E674" s="249" t="s">
        <v>3045</v>
      </c>
      <c r="F674">
        <v>672</v>
      </c>
    </row>
    <row r="675" spans="1:6" x14ac:dyDescent="0.25">
      <c r="A675" t="s">
        <v>2076</v>
      </c>
      <c r="B675" s="248">
        <v>27835</v>
      </c>
      <c r="C675" t="s">
        <v>3662</v>
      </c>
      <c r="D675" t="s">
        <v>3053</v>
      </c>
      <c r="E675" s="249" t="s">
        <v>3013</v>
      </c>
      <c r="F675">
        <v>673</v>
      </c>
    </row>
    <row r="676" spans="1:6" x14ac:dyDescent="0.25">
      <c r="A676" t="s">
        <v>2152</v>
      </c>
      <c r="B676" s="248">
        <v>7838</v>
      </c>
      <c r="C676" t="s">
        <v>3663</v>
      </c>
      <c r="D676" t="s">
        <v>3053</v>
      </c>
      <c r="E676" s="249" t="s">
        <v>3016</v>
      </c>
      <c r="F676">
        <v>674</v>
      </c>
    </row>
    <row r="677" spans="1:6" x14ac:dyDescent="0.25">
      <c r="A677" t="s">
        <v>2155</v>
      </c>
      <c r="B677" s="248">
        <v>7838</v>
      </c>
      <c r="C677" t="s">
        <v>3664</v>
      </c>
      <c r="D677" t="s">
        <v>3053</v>
      </c>
      <c r="E677" s="249" t="s">
        <v>3016</v>
      </c>
      <c r="F677">
        <v>675</v>
      </c>
    </row>
    <row r="678" spans="1:6" x14ac:dyDescent="0.25">
      <c r="A678" t="s">
        <v>2149</v>
      </c>
      <c r="B678" s="248">
        <v>7589</v>
      </c>
      <c r="C678" t="s">
        <v>3665</v>
      </c>
      <c r="D678" t="s">
        <v>3053</v>
      </c>
      <c r="E678" s="249" t="s">
        <v>3016</v>
      </c>
      <c r="F678">
        <v>676</v>
      </c>
    </row>
    <row r="679" spans="1:6" x14ac:dyDescent="0.25">
      <c r="A679" t="s">
        <v>1989</v>
      </c>
      <c r="B679" s="248">
        <v>1662</v>
      </c>
      <c r="C679" t="s">
        <v>3666</v>
      </c>
      <c r="D679" t="s">
        <v>3204</v>
      </c>
      <c r="E679" s="249" t="s">
        <v>3001</v>
      </c>
      <c r="F679">
        <v>677</v>
      </c>
    </row>
    <row r="680" spans="1:6" x14ac:dyDescent="0.25">
      <c r="A680" t="s">
        <v>2455</v>
      </c>
      <c r="B680" s="248">
        <v>416</v>
      </c>
      <c r="C680" t="s">
        <v>3667</v>
      </c>
      <c r="D680" t="s">
        <v>3204</v>
      </c>
      <c r="E680" s="249" t="s">
        <v>3020</v>
      </c>
      <c r="F680">
        <v>678</v>
      </c>
    </row>
    <row r="681" spans="1:6" x14ac:dyDescent="0.25">
      <c r="A681" t="s">
        <v>2974</v>
      </c>
      <c r="B681" s="248">
        <v>250</v>
      </c>
      <c r="C681" t="s">
        <v>3668</v>
      </c>
      <c r="D681" t="s">
        <v>3204</v>
      </c>
      <c r="E681" s="249" t="s">
        <v>3020</v>
      </c>
      <c r="F681">
        <v>679</v>
      </c>
    </row>
    <row r="682" spans="1:6" x14ac:dyDescent="0.25">
      <c r="A682" t="s">
        <v>2469</v>
      </c>
      <c r="B682" s="248">
        <v>1163</v>
      </c>
      <c r="C682" t="s">
        <v>3669</v>
      </c>
      <c r="D682" t="s">
        <v>3204</v>
      </c>
      <c r="E682" s="249" t="s">
        <v>3020</v>
      </c>
      <c r="F682">
        <v>680</v>
      </c>
    </row>
    <row r="683" spans="1:6" x14ac:dyDescent="0.25">
      <c r="A683" t="s">
        <v>1969</v>
      </c>
      <c r="B683" s="248">
        <v>2492</v>
      </c>
      <c r="C683" t="s">
        <v>3670</v>
      </c>
      <c r="D683" t="s">
        <v>3204</v>
      </c>
      <c r="E683" s="249" t="s">
        <v>3001</v>
      </c>
      <c r="F683">
        <v>681</v>
      </c>
    </row>
    <row r="684" spans="1:6" x14ac:dyDescent="0.25">
      <c r="A684" t="s">
        <v>1981</v>
      </c>
      <c r="B684" s="248">
        <v>2492</v>
      </c>
      <c r="C684" t="s">
        <v>3671</v>
      </c>
      <c r="D684" t="s">
        <v>3204</v>
      </c>
      <c r="E684" s="249" t="s">
        <v>3001</v>
      </c>
      <c r="F684">
        <v>682</v>
      </c>
    </row>
    <row r="685" spans="1:6" x14ac:dyDescent="0.25">
      <c r="A685" t="s">
        <v>1959</v>
      </c>
      <c r="B685" s="248">
        <v>2492</v>
      </c>
      <c r="C685" t="s">
        <v>3672</v>
      </c>
      <c r="D685" t="s">
        <v>3204</v>
      </c>
      <c r="E685" s="249" t="s">
        <v>3001</v>
      </c>
      <c r="F685">
        <v>683</v>
      </c>
    </row>
    <row r="686" spans="1:6" x14ac:dyDescent="0.25">
      <c r="A686" t="s">
        <v>2671</v>
      </c>
      <c r="B686" s="248">
        <v>17562</v>
      </c>
      <c r="C686" t="s">
        <v>3673</v>
      </c>
      <c r="D686" t="s">
        <v>3056</v>
      </c>
      <c r="E686" s="249" t="s">
        <v>3028</v>
      </c>
      <c r="F686">
        <v>684</v>
      </c>
    </row>
    <row r="687" spans="1:6" x14ac:dyDescent="0.25">
      <c r="A687" t="s">
        <v>2686</v>
      </c>
      <c r="B687" s="248">
        <v>21498</v>
      </c>
      <c r="C687" t="s">
        <v>3674</v>
      </c>
      <c r="D687" t="s">
        <v>3056</v>
      </c>
      <c r="E687" s="249" t="s">
        <v>3028</v>
      </c>
      <c r="F687">
        <v>685</v>
      </c>
    </row>
    <row r="688" spans="1:6" x14ac:dyDescent="0.25">
      <c r="A688" t="s">
        <v>2753</v>
      </c>
      <c r="B688" s="248">
        <v>23190</v>
      </c>
      <c r="C688" t="s">
        <v>3675</v>
      </c>
      <c r="D688" t="s">
        <v>3056</v>
      </c>
      <c r="E688" s="249" t="s">
        <v>3028</v>
      </c>
      <c r="F688">
        <v>686</v>
      </c>
    </row>
    <row r="689" spans="1:6" x14ac:dyDescent="0.25">
      <c r="A689" t="s">
        <v>1481</v>
      </c>
      <c r="B689" s="248">
        <v>16138</v>
      </c>
      <c r="C689" t="s">
        <v>3676</v>
      </c>
      <c r="D689" t="s">
        <v>3053</v>
      </c>
      <c r="E689" s="249" t="s">
        <v>3047</v>
      </c>
      <c r="F689">
        <v>687</v>
      </c>
    </row>
    <row r="690" spans="1:6" x14ac:dyDescent="0.25">
      <c r="A690" t="s">
        <v>1580</v>
      </c>
      <c r="B690" s="248">
        <v>12293</v>
      </c>
      <c r="C690" t="s">
        <v>3677</v>
      </c>
      <c r="D690" t="s">
        <v>3053</v>
      </c>
      <c r="E690" s="249" t="s">
        <v>3047</v>
      </c>
      <c r="F690">
        <v>688</v>
      </c>
    </row>
    <row r="691" spans="1:6" x14ac:dyDescent="0.25">
      <c r="A691" t="s">
        <v>2307</v>
      </c>
      <c r="B691" s="248">
        <v>8439</v>
      </c>
      <c r="C691" t="s">
        <v>3678</v>
      </c>
      <c r="D691" t="s">
        <v>3241</v>
      </c>
      <c r="E691" s="249" t="s">
        <v>3020</v>
      </c>
      <c r="F691">
        <v>689</v>
      </c>
    </row>
    <row r="692" spans="1:6" x14ac:dyDescent="0.25">
      <c r="A692" t="s">
        <v>2371</v>
      </c>
      <c r="B692" s="248">
        <v>15431</v>
      </c>
      <c r="C692" t="s">
        <v>3679</v>
      </c>
      <c r="D692" t="s">
        <v>3241</v>
      </c>
      <c r="E692" s="249" t="s">
        <v>3020</v>
      </c>
      <c r="F692">
        <v>690</v>
      </c>
    </row>
    <row r="693" spans="1:6" x14ac:dyDescent="0.25">
      <c r="A693" t="s">
        <v>2389</v>
      </c>
      <c r="B693" s="248">
        <v>27998</v>
      </c>
      <c r="C693" t="s">
        <v>3680</v>
      </c>
      <c r="D693" t="s">
        <v>3241</v>
      </c>
      <c r="E693" s="249" t="s">
        <v>3020</v>
      </c>
      <c r="F693">
        <v>691</v>
      </c>
    </row>
    <row r="694" spans="1:6" x14ac:dyDescent="0.25">
      <c r="A694" t="s">
        <v>2354</v>
      </c>
      <c r="B694" s="248">
        <v>10243</v>
      </c>
      <c r="C694" t="s">
        <v>3681</v>
      </c>
      <c r="D694" t="s">
        <v>3241</v>
      </c>
      <c r="E694" s="249" t="s">
        <v>3020</v>
      </c>
      <c r="F694">
        <v>692</v>
      </c>
    </row>
    <row r="695" spans="1:6" x14ac:dyDescent="0.25">
      <c r="A695" t="s">
        <v>2247</v>
      </c>
      <c r="B695" s="248">
        <v>19566</v>
      </c>
      <c r="C695" t="s">
        <v>3682</v>
      </c>
      <c r="D695" t="s">
        <v>3246</v>
      </c>
      <c r="E695" s="249" t="s">
        <v>3018</v>
      </c>
      <c r="F695">
        <v>693</v>
      </c>
    </row>
    <row r="696" spans="1:6" x14ac:dyDescent="0.25">
      <c r="A696" t="s">
        <v>399</v>
      </c>
      <c r="B696" s="248">
        <v>12890</v>
      </c>
      <c r="C696" t="s">
        <v>3683</v>
      </c>
      <c r="D696" t="s">
        <v>3053</v>
      </c>
      <c r="E696" s="249" t="s">
        <v>3043</v>
      </c>
      <c r="F696">
        <v>694</v>
      </c>
    </row>
    <row r="697" spans="1:6" x14ac:dyDescent="0.25">
      <c r="A697" t="s">
        <v>256</v>
      </c>
      <c r="B697" s="248">
        <v>12164</v>
      </c>
      <c r="C697" t="s">
        <v>3684</v>
      </c>
      <c r="D697" t="s">
        <v>3053</v>
      </c>
      <c r="E697" s="249" t="s">
        <v>3043</v>
      </c>
      <c r="F697">
        <v>695</v>
      </c>
    </row>
    <row r="698" spans="1:6" x14ac:dyDescent="0.25">
      <c r="A698" t="s">
        <v>881</v>
      </c>
      <c r="B698" s="248">
        <v>26460</v>
      </c>
      <c r="C698" t="s">
        <v>3685</v>
      </c>
      <c r="D698" t="s">
        <v>3053</v>
      </c>
      <c r="E698" s="249" t="s">
        <v>3045</v>
      </c>
      <c r="F698">
        <v>696</v>
      </c>
    </row>
    <row r="699" spans="1:6" x14ac:dyDescent="0.25">
      <c r="A699" t="s">
        <v>975</v>
      </c>
      <c r="B699" s="248">
        <v>29835</v>
      </c>
      <c r="C699" t="s">
        <v>3686</v>
      </c>
      <c r="D699" t="s">
        <v>3053</v>
      </c>
      <c r="E699" s="249" t="s">
        <v>3045</v>
      </c>
      <c r="F699">
        <v>697</v>
      </c>
    </row>
    <row r="700" spans="1:6" x14ac:dyDescent="0.25">
      <c r="A700" t="s">
        <v>2158</v>
      </c>
      <c r="B700" s="248">
        <v>10647</v>
      </c>
      <c r="C700" t="s">
        <v>3687</v>
      </c>
      <c r="D700" t="s">
        <v>3053</v>
      </c>
      <c r="E700" s="249" t="s">
        <v>3016</v>
      </c>
      <c r="F700">
        <v>698</v>
      </c>
    </row>
    <row r="701" spans="1:6" x14ac:dyDescent="0.25">
      <c r="A701" t="s">
        <v>2161</v>
      </c>
      <c r="B701" s="248">
        <v>13012</v>
      </c>
      <c r="C701" t="s">
        <v>3688</v>
      </c>
      <c r="D701" t="s">
        <v>3053</v>
      </c>
      <c r="E701" s="249" t="s">
        <v>3016</v>
      </c>
      <c r="F701">
        <v>699</v>
      </c>
    </row>
    <row r="702" spans="1:6" x14ac:dyDescent="0.25">
      <c r="A702" t="s">
        <v>2164</v>
      </c>
      <c r="B702" s="248">
        <v>13602</v>
      </c>
      <c r="C702" t="s">
        <v>3689</v>
      </c>
      <c r="D702" t="s">
        <v>3053</v>
      </c>
      <c r="E702" s="249" t="s">
        <v>3016</v>
      </c>
      <c r="F702">
        <v>700</v>
      </c>
    </row>
    <row r="703" spans="1:6" x14ac:dyDescent="0.25">
      <c r="A703" t="s">
        <v>2479</v>
      </c>
      <c r="B703" s="248">
        <v>1828</v>
      </c>
      <c r="C703" t="s">
        <v>3690</v>
      </c>
      <c r="D703" t="s">
        <v>3204</v>
      </c>
      <c r="E703" s="249" t="s">
        <v>3020</v>
      </c>
      <c r="F703">
        <v>701</v>
      </c>
    </row>
    <row r="704" spans="1:6" x14ac:dyDescent="0.25">
      <c r="A704" t="s">
        <v>2973</v>
      </c>
      <c r="B704" s="248">
        <v>250</v>
      </c>
      <c r="C704" t="s">
        <v>3691</v>
      </c>
      <c r="D704" t="s">
        <v>3204</v>
      </c>
      <c r="E704" s="249" t="s">
        <v>3020</v>
      </c>
      <c r="F704">
        <v>702</v>
      </c>
    </row>
    <row r="705" spans="1:6" x14ac:dyDescent="0.25">
      <c r="A705" t="s">
        <v>1960</v>
      </c>
      <c r="B705" s="248">
        <v>2492</v>
      </c>
      <c r="C705" t="s">
        <v>3692</v>
      </c>
      <c r="D705" t="s">
        <v>3204</v>
      </c>
      <c r="E705" s="249" t="s">
        <v>3001</v>
      </c>
      <c r="F705">
        <v>703</v>
      </c>
    </row>
    <row r="706" spans="1:6" x14ac:dyDescent="0.25">
      <c r="A706" t="s">
        <v>2672</v>
      </c>
      <c r="B706" s="248">
        <v>19418</v>
      </c>
      <c r="C706" t="s">
        <v>3693</v>
      </c>
      <c r="D706" t="s">
        <v>3056</v>
      </c>
      <c r="E706" s="249" t="s">
        <v>3028</v>
      </c>
      <c r="F706">
        <v>704</v>
      </c>
    </row>
    <row r="707" spans="1:6" x14ac:dyDescent="0.25">
      <c r="A707" t="s">
        <v>2687</v>
      </c>
      <c r="B707" s="248">
        <v>25178</v>
      </c>
      <c r="C707" t="s">
        <v>3694</v>
      </c>
      <c r="D707" t="s">
        <v>3056</v>
      </c>
      <c r="E707" s="249" t="s">
        <v>3028</v>
      </c>
      <c r="F707">
        <v>705</v>
      </c>
    </row>
    <row r="708" spans="1:6" x14ac:dyDescent="0.25">
      <c r="A708" t="s">
        <v>2754</v>
      </c>
      <c r="B708" s="248">
        <v>31818</v>
      </c>
      <c r="C708" t="s">
        <v>3695</v>
      </c>
      <c r="D708" t="s">
        <v>3056</v>
      </c>
      <c r="E708" s="249" t="s">
        <v>3028</v>
      </c>
      <c r="F708">
        <v>706</v>
      </c>
    </row>
    <row r="709" spans="1:6" x14ac:dyDescent="0.25">
      <c r="A709" t="s">
        <v>2308</v>
      </c>
      <c r="B709" s="248">
        <v>11428</v>
      </c>
      <c r="C709" t="s">
        <v>3696</v>
      </c>
      <c r="D709" t="s">
        <v>3241</v>
      </c>
      <c r="E709" s="249" t="s">
        <v>3020</v>
      </c>
      <c r="F709">
        <v>707</v>
      </c>
    </row>
    <row r="710" spans="1:6" x14ac:dyDescent="0.25">
      <c r="A710" t="s">
        <v>2390</v>
      </c>
      <c r="B710" s="248">
        <v>41995</v>
      </c>
      <c r="C710" t="s">
        <v>3697</v>
      </c>
      <c r="D710" t="s">
        <v>3241</v>
      </c>
      <c r="E710" s="249" t="s">
        <v>3020</v>
      </c>
      <c r="F710">
        <v>708</v>
      </c>
    </row>
    <row r="711" spans="1:6" x14ac:dyDescent="0.25">
      <c r="A711" t="s">
        <v>2420</v>
      </c>
      <c r="B711" s="248">
        <v>25497</v>
      </c>
      <c r="C711" t="s">
        <v>3698</v>
      </c>
      <c r="D711" t="s">
        <v>3241</v>
      </c>
      <c r="E711" s="249" t="s">
        <v>3020</v>
      </c>
      <c r="F711">
        <v>709</v>
      </c>
    </row>
    <row r="712" spans="1:6" x14ac:dyDescent="0.25">
      <c r="A712" t="s">
        <v>400</v>
      </c>
      <c r="B712" s="248">
        <v>17529</v>
      </c>
      <c r="C712" t="s">
        <v>3699</v>
      </c>
      <c r="D712" t="s">
        <v>3053</v>
      </c>
      <c r="E712" s="249" t="s">
        <v>3043</v>
      </c>
      <c r="F712">
        <v>710</v>
      </c>
    </row>
    <row r="713" spans="1:6" x14ac:dyDescent="0.25">
      <c r="A713" t="s">
        <v>258</v>
      </c>
      <c r="B713" s="248">
        <v>17260</v>
      </c>
      <c r="C713" t="s">
        <v>3700</v>
      </c>
      <c r="D713" t="s">
        <v>3053</v>
      </c>
      <c r="E713" s="249" t="s">
        <v>3043</v>
      </c>
      <c r="F713">
        <v>711</v>
      </c>
    </row>
    <row r="714" spans="1:6" x14ac:dyDescent="0.25">
      <c r="A714" t="s">
        <v>882</v>
      </c>
      <c r="B714" s="248">
        <v>35985</v>
      </c>
      <c r="C714" t="s">
        <v>3701</v>
      </c>
      <c r="D714" t="s">
        <v>3053</v>
      </c>
      <c r="E714" s="249" t="s">
        <v>3045</v>
      </c>
      <c r="F714">
        <v>712</v>
      </c>
    </row>
    <row r="715" spans="1:6" x14ac:dyDescent="0.25">
      <c r="A715" t="s">
        <v>976</v>
      </c>
      <c r="B715" s="248">
        <v>37293</v>
      </c>
      <c r="C715" t="s">
        <v>3702</v>
      </c>
      <c r="D715" t="s">
        <v>3053</v>
      </c>
      <c r="E715" s="249" t="s">
        <v>3045</v>
      </c>
      <c r="F715">
        <v>713</v>
      </c>
    </row>
    <row r="716" spans="1:6" x14ac:dyDescent="0.25">
      <c r="A716" t="s">
        <v>2170</v>
      </c>
      <c r="B716" s="248">
        <v>13749</v>
      </c>
      <c r="C716" t="s">
        <v>3703</v>
      </c>
      <c r="D716" t="s">
        <v>3053</v>
      </c>
      <c r="E716" s="249" t="s">
        <v>3016</v>
      </c>
      <c r="F716">
        <v>714</v>
      </c>
    </row>
    <row r="717" spans="1:6" x14ac:dyDescent="0.25">
      <c r="A717" t="s">
        <v>2173</v>
      </c>
      <c r="B717" s="248">
        <v>14194</v>
      </c>
      <c r="C717" t="s">
        <v>3704</v>
      </c>
      <c r="D717" t="s">
        <v>3053</v>
      </c>
      <c r="E717" s="249" t="s">
        <v>3016</v>
      </c>
      <c r="F717">
        <v>715</v>
      </c>
    </row>
    <row r="718" spans="1:6" x14ac:dyDescent="0.25">
      <c r="A718" t="s">
        <v>2176</v>
      </c>
      <c r="B718" s="248">
        <v>20696</v>
      </c>
      <c r="C718" t="s">
        <v>3705</v>
      </c>
      <c r="D718" t="s">
        <v>3053</v>
      </c>
      <c r="E718" s="249" t="s">
        <v>3016</v>
      </c>
      <c r="F718">
        <v>716</v>
      </c>
    </row>
    <row r="719" spans="1:6" x14ac:dyDescent="0.25">
      <c r="A719" t="s">
        <v>2480</v>
      </c>
      <c r="B719" s="248">
        <v>2743</v>
      </c>
      <c r="C719" t="s">
        <v>3706</v>
      </c>
      <c r="D719" t="s">
        <v>3204</v>
      </c>
      <c r="E719" s="249" t="s">
        <v>3020</v>
      </c>
      <c r="F719">
        <v>717</v>
      </c>
    </row>
    <row r="720" spans="1:6" x14ac:dyDescent="0.25">
      <c r="A720" t="s">
        <v>2456</v>
      </c>
      <c r="B720" s="248">
        <v>624</v>
      </c>
      <c r="C720" t="s">
        <v>3707</v>
      </c>
      <c r="D720" t="s">
        <v>3204</v>
      </c>
      <c r="E720" s="249" t="s">
        <v>3020</v>
      </c>
      <c r="F720">
        <v>718</v>
      </c>
    </row>
    <row r="721" spans="1:6" x14ac:dyDescent="0.25">
      <c r="A721" t="s">
        <v>2972</v>
      </c>
      <c r="B721" s="248">
        <v>416</v>
      </c>
      <c r="C721" t="s">
        <v>3708</v>
      </c>
      <c r="D721" t="s">
        <v>3204</v>
      </c>
      <c r="E721" s="249" t="s">
        <v>3020</v>
      </c>
      <c r="F721">
        <v>719</v>
      </c>
    </row>
    <row r="722" spans="1:6" x14ac:dyDescent="0.25">
      <c r="A722" t="s">
        <v>1961</v>
      </c>
      <c r="B722" s="248">
        <v>2492</v>
      </c>
      <c r="C722" t="s">
        <v>3709</v>
      </c>
      <c r="D722" t="s">
        <v>3204</v>
      </c>
      <c r="E722" s="249" t="s">
        <v>3001</v>
      </c>
      <c r="F722">
        <v>720</v>
      </c>
    </row>
    <row r="723" spans="1:6" x14ac:dyDescent="0.25">
      <c r="A723" t="s">
        <v>2688</v>
      </c>
      <c r="B723" s="248">
        <v>27715</v>
      </c>
      <c r="C723" t="s">
        <v>3710</v>
      </c>
      <c r="D723" t="s">
        <v>3056</v>
      </c>
      <c r="E723" s="249" t="s">
        <v>3028</v>
      </c>
      <c r="F723">
        <v>721</v>
      </c>
    </row>
    <row r="724" spans="1:6" x14ac:dyDescent="0.25">
      <c r="A724" t="s">
        <v>2309</v>
      </c>
      <c r="B724" s="248">
        <v>14438</v>
      </c>
      <c r="C724" t="s">
        <v>3711</v>
      </c>
      <c r="D724" t="s">
        <v>3241</v>
      </c>
      <c r="E724" s="249" t="s">
        <v>3020</v>
      </c>
      <c r="F724">
        <v>722</v>
      </c>
    </row>
    <row r="725" spans="1:6" x14ac:dyDescent="0.25">
      <c r="A725" t="s">
        <v>2373</v>
      </c>
      <c r="B725" s="248">
        <v>27772</v>
      </c>
      <c r="C725" t="s">
        <v>3712</v>
      </c>
      <c r="D725" t="s">
        <v>3241</v>
      </c>
      <c r="E725" s="249" t="s">
        <v>3020</v>
      </c>
      <c r="F725">
        <v>723</v>
      </c>
    </row>
    <row r="726" spans="1:6" x14ac:dyDescent="0.25">
      <c r="A726" t="s">
        <v>259</v>
      </c>
      <c r="B726" s="248">
        <v>23708</v>
      </c>
      <c r="C726" t="s">
        <v>3713</v>
      </c>
      <c r="D726" t="s">
        <v>3053</v>
      </c>
      <c r="E726" s="249" t="s">
        <v>3043</v>
      </c>
      <c r="F726">
        <v>724</v>
      </c>
    </row>
    <row r="727" spans="1:6" x14ac:dyDescent="0.25">
      <c r="A727" t="s">
        <v>977</v>
      </c>
      <c r="B727" s="248">
        <v>44753</v>
      </c>
      <c r="C727" t="s">
        <v>3714</v>
      </c>
      <c r="D727" t="s">
        <v>3053</v>
      </c>
      <c r="E727" s="249" t="s">
        <v>3045</v>
      </c>
      <c r="F727">
        <v>725</v>
      </c>
    </row>
    <row r="728" spans="1:6" x14ac:dyDescent="0.25">
      <c r="A728" t="s">
        <v>2481</v>
      </c>
      <c r="B728" s="248">
        <v>3322</v>
      </c>
      <c r="C728" t="s">
        <v>3715</v>
      </c>
      <c r="D728" t="s">
        <v>3204</v>
      </c>
      <c r="E728" s="249" t="s">
        <v>3020</v>
      </c>
      <c r="F728">
        <v>726</v>
      </c>
    </row>
    <row r="729" spans="1:6" x14ac:dyDescent="0.25">
      <c r="A729" t="s">
        <v>2457</v>
      </c>
      <c r="B729" s="248">
        <v>1246</v>
      </c>
      <c r="C729" t="s">
        <v>3716</v>
      </c>
      <c r="D729" t="s">
        <v>3204</v>
      </c>
      <c r="E729" s="249" t="s">
        <v>3020</v>
      </c>
      <c r="F729">
        <v>727</v>
      </c>
    </row>
    <row r="730" spans="1:6" x14ac:dyDescent="0.25">
      <c r="A730" t="s">
        <v>2971</v>
      </c>
      <c r="B730" s="248">
        <v>416</v>
      </c>
      <c r="C730" t="s">
        <v>3717</v>
      </c>
      <c r="D730" t="s">
        <v>3204</v>
      </c>
      <c r="E730" s="249" t="s">
        <v>3020</v>
      </c>
      <c r="F730">
        <v>728</v>
      </c>
    </row>
    <row r="731" spans="1:6" x14ac:dyDescent="0.25">
      <c r="A731" t="s">
        <v>1987</v>
      </c>
      <c r="B731" s="248">
        <v>747.5</v>
      </c>
      <c r="C731" t="s">
        <v>3718</v>
      </c>
      <c r="D731" t="s">
        <v>3204</v>
      </c>
      <c r="E731" s="249" t="s">
        <v>3001</v>
      </c>
      <c r="F731">
        <v>729</v>
      </c>
    </row>
    <row r="732" spans="1:6" x14ac:dyDescent="0.25">
      <c r="A732" t="s">
        <v>2310</v>
      </c>
      <c r="B732" s="248">
        <v>15742</v>
      </c>
      <c r="C732" t="s">
        <v>3719</v>
      </c>
      <c r="D732" t="s">
        <v>3241</v>
      </c>
      <c r="E732" s="249" t="s">
        <v>3020</v>
      </c>
      <c r="F732">
        <v>730</v>
      </c>
    </row>
    <row r="733" spans="1:6" x14ac:dyDescent="0.25">
      <c r="A733" t="s">
        <v>260</v>
      </c>
      <c r="B733" s="248">
        <v>32243</v>
      </c>
      <c r="C733" t="s">
        <v>3720</v>
      </c>
      <c r="D733" t="s">
        <v>3053</v>
      </c>
      <c r="E733" s="249" t="s">
        <v>3043</v>
      </c>
      <c r="F733">
        <v>731</v>
      </c>
    </row>
    <row r="734" spans="1:6" x14ac:dyDescent="0.25">
      <c r="A734" t="s">
        <v>2482</v>
      </c>
      <c r="B734" s="248">
        <v>6228</v>
      </c>
      <c r="C734" t="s">
        <v>3721</v>
      </c>
      <c r="D734" t="s">
        <v>3204</v>
      </c>
      <c r="E734" s="249" t="s">
        <v>3020</v>
      </c>
      <c r="F734">
        <v>732</v>
      </c>
    </row>
    <row r="735" spans="1:6" x14ac:dyDescent="0.25">
      <c r="A735" t="s">
        <v>2458</v>
      </c>
      <c r="B735" s="248">
        <v>1246</v>
      </c>
      <c r="C735" t="s">
        <v>3722</v>
      </c>
      <c r="D735" t="s">
        <v>3204</v>
      </c>
      <c r="E735" s="249" t="s">
        <v>3020</v>
      </c>
      <c r="F735">
        <v>733</v>
      </c>
    </row>
    <row r="736" spans="1:6" x14ac:dyDescent="0.25">
      <c r="A736" t="s">
        <v>2970</v>
      </c>
      <c r="B736" s="248">
        <v>416</v>
      </c>
      <c r="C736" t="s">
        <v>3723</v>
      </c>
      <c r="D736" t="s">
        <v>3204</v>
      </c>
      <c r="E736" s="249" t="s">
        <v>3020</v>
      </c>
      <c r="F736">
        <v>734</v>
      </c>
    </row>
    <row r="737" spans="1:6" x14ac:dyDescent="0.25">
      <c r="A737" t="s">
        <v>424</v>
      </c>
      <c r="B737" s="248">
        <v>141.5</v>
      </c>
      <c r="C737" t="s">
        <v>3724</v>
      </c>
      <c r="D737" t="s">
        <v>3204</v>
      </c>
      <c r="E737" s="249" t="s">
        <v>3043</v>
      </c>
      <c r="F737">
        <v>735</v>
      </c>
    </row>
    <row r="738" spans="1:6" x14ac:dyDescent="0.25">
      <c r="A738" t="s">
        <v>422</v>
      </c>
      <c r="B738" s="248">
        <v>92</v>
      </c>
      <c r="C738" t="s">
        <v>3725</v>
      </c>
      <c r="D738" t="s">
        <v>3204</v>
      </c>
      <c r="E738" s="249" t="s">
        <v>3043</v>
      </c>
      <c r="F738">
        <v>736</v>
      </c>
    </row>
    <row r="739" spans="1:6" x14ac:dyDescent="0.25">
      <c r="A739" t="s">
        <v>425</v>
      </c>
      <c r="B739" s="248">
        <v>100</v>
      </c>
      <c r="C739" t="s">
        <v>3726</v>
      </c>
      <c r="D739" t="s">
        <v>3204</v>
      </c>
      <c r="E739" s="249" t="s">
        <v>3043</v>
      </c>
      <c r="F739">
        <v>737</v>
      </c>
    </row>
    <row r="740" spans="1:6" x14ac:dyDescent="0.25">
      <c r="A740" t="s">
        <v>1419</v>
      </c>
      <c r="B740" s="248">
        <v>26.75</v>
      </c>
      <c r="C740" t="s">
        <v>3727</v>
      </c>
      <c r="D740" t="s">
        <v>3204</v>
      </c>
      <c r="E740" s="249" t="s">
        <v>3047</v>
      </c>
      <c r="F740">
        <v>738</v>
      </c>
    </row>
    <row r="741" spans="1:6" x14ac:dyDescent="0.25">
      <c r="A741" t="s">
        <v>1421</v>
      </c>
      <c r="B741" s="248">
        <v>26.75</v>
      </c>
      <c r="C741" t="s">
        <v>3728</v>
      </c>
      <c r="D741" t="s">
        <v>3204</v>
      </c>
      <c r="E741" s="249" t="s">
        <v>3047</v>
      </c>
      <c r="F741">
        <v>739</v>
      </c>
    </row>
    <row r="742" spans="1:6" x14ac:dyDescent="0.25">
      <c r="A742" t="s">
        <v>2311</v>
      </c>
      <c r="B742" s="248">
        <v>21878</v>
      </c>
      <c r="C742" t="s">
        <v>3729</v>
      </c>
      <c r="D742" t="s">
        <v>3241</v>
      </c>
      <c r="E742" s="249" t="s">
        <v>3020</v>
      </c>
      <c r="F742">
        <v>740</v>
      </c>
    </row>
    <row r="743" spans="1:6" x14ac:dyDescent="0.25">
      <c r="A743" t="s">
        <v>261</v>
      </c>
      <c r="B743" s="248">
        <v>43847</v>
      </c>
      <c r="C743" t="s">
        <v>3730</v>
      </c>
      <c r="D743" t="s">
        <v>3053</v>
      </c>
      <c r="E743" s="249" t="s">
        <v>3043</v>
      </c>
      <c r="F743">
        <v>741</v>
      </c>
    </row>
    <row r="744" spans="1:6" x14ac:dyDescent="0.25">
      <c r="A744" t="s">
        <v>2483</v>
      </c>
      <c r="B744" s="248">
        <v>8303</v>
      </c>
      <c r="C744" t="s">
        <v>3731</v>
      </c>
      <c r="D744" t="s">
        <v>3204</v>
      </c>
      <c r="E744" s="249" t="s">
        <v>3020</v>
      </c>
      <c r="F744">
        <v>742</v>
      </c>
    </row>
    <row r="745" spans="1:6" x14ac:dyDescent="0.25">
      <c r="A745" t="s">
        <v>2459</v>
      </c>
      <c r="B745" s="248">
        <v>2078</v>
      </c>
      <c r="C745" t="s">
        <v>3732</v>
      </c>
      <c r="D745" t="s">
        <v>3204</v>
      </c>
      <c r="E745" s="249" t="s">
        <v>3020</v>
      </c>
      <c r="F745">
        <v>743</v>
      </c>
    </row>
    <row r="746" spans="1:6" x14ac:dyDescent="0.25">
      <c r="A746" t="s">
        <v>2969</v>
      </c>
      <c r="B746" s="248">
        <v>498.5</v>
      </c>
      <c r="C746" t="s">
        <v>3733</v>
      </c>
      <c r="D746" t="s">
        <v>3204</v>
      </c>
      <c r="E746" s="249" t="s">
        <v>3020</v>
      </c>
      <c r="F746">
        <v>744</v>
      </c>
    </row>
    <row r="747" spans="1:6" x14ac:dyDescent="0.25">
      <c r="A747" t="s">
        <v>1988</v>
      </c>
      <c r="B747" s="248">
        <v>1246</v>
      </c>
      <c r="C747" t="s">
        <v>3734</v>
      </c>
      <c r="D747" t="s">
        <v>3204</v>
      </c>
      <c r="E747" s="249" t="s">
        <v>3001</v>
      </c>
      <c r="F747">
        <v>745</v>
      </c>
    </row>
    <row r="748" spans="1:6" x14ac:dyDescent="0.25">
      <c r="A748" t="s">
        <v>1859</v>
      </c>
      <c r="B748" s="248">
        <v>23.5</v>
      </c>
      <c r="C748" t="s">
        <v>3735</v>
      </c>
      <c r="D748" t="s">
        <v>3204</v>
      </c>
      <c r="E748" s="249" t="s">
        <v>3049</v>
      </c>
      <c r="F748">
        <v>746</v>
      </c>
    </row>
    <row r="749" spans="1:6" x14ac:dyDescent="0.25">
      <c r="A749" t="s">
        <v>2312</v>
      </c>
      <c r="B749" s="248">
        <v>42263</v>
      </c>
      <c r="C749" t="s">
        <v>3736</v>
      </c>
      <c r="D749" t="s">
        <v>3241</v>
      </c>
      <c r="E749" s="249" t="s">
        <v>3020</v>
      </c>
      <c r="F749">
        <v>747</v>
      </c>
    </row>
    <row r="750" spans="1:6" x14ac:dyDescent="0.25">
      <c r="A750" t="s">
        <v>2484</v>
      </c>
      <c r="B750" s="248">
        <v>14944</v>
      </c>
      <c r="C750" t="s">
        <v>3737</v>
      </c>
      <c r="D750" t="s">
        <v>3204</v>
      </c>
      <c r="E750" s="249" t="s">
        <v>3020</v>
      </c>
      <c r="F750">
        <v>748</v>
      </c>
    </row>
    <row r="751" spans="1:6" x14ac:dyDescent="0.25">
      <c r="A751" t="s">
        <v>2460</v>
      </c>
      <c r="B751" s="248">
        <v>2078</v>
      </c>
      <c r="C751" t="s">
        <v>3738</v>
      </c>
      <c r="D751" t="s">
        <v>3204</v>
      </c>
      <c r="E751" s="249" t="s">
        <v>3020</v>
      </c>
      <c r="F751">
        <v>749</v>
      </c>
    </row>
    <row r="752" spans="1:6" x14ac:dyDescent="0.25">
      <c r="A752" t="s">
        <v>2012</v>
      </c>
      <c r="B752" s="248">
        <v>98.5</v>
      </c>
      <c r="C752" t="s">
        <v>3739</v>
      </c>
      <c r="D752" t="s">
        <v>3204</v>
      </c>
      <c r="E752" s="249" t="s">
        <v>3001</v>
      </c>
      <c r="F752">
        <v>750</v>
      </c>
    </row>
    <row r="753" spans="1:6" x14ac:dyDescent="0.25">
      <c r="A753" t="s">
        <v>2004</v>
      </c>
      <c r="B753" s="248">
        <v>33.5</v>
      </c>
      <c r="C753" t="s">
        <v>3740</v>
      </c>
      <c r="D753" t="s">
        <v>3204</v>
      </c>
      <c r="E753" s="249" t="s">
        <v>3001</v>
      </c>
      <c r="F753">
        <v>751</v>
      </c>
    </row>
    <row r="754" spans="1:6" x14ac:dyDescent="0.25">
      <c r="A754" t="s">
        <v>2005</v>
      </c>
      <c r="B754" s="248">
        <v>125</v>
      </c>
      <c r="C754" t="s">
        <v>3741</v>
      </c>
      <c r="D754" t="s">
        <v>3204</v>
      </c>
      <c r="E754" s="249" t="s">
        <v>3001</v>
      </c>
      <c r="F754">
        <v>752</v>
      </c>
    </row>
    <row r="755" spans="1:6" x14ac:dyDescent="0.25">
      <c r="A755" t="s">
        <v>2006</v>
      </c>
      <c r="B755" s="248">
        <v>125</v>
      </c>
      <c r="C755" t="s">
        <v>3742</v>
      </c>
      <c r="D755" t="s">
        <v>3204</v>
      </c>
      <c r="E755" s="249" t="s">
        <v>3001</v>
      </c>
      <c r="F755">
        <v>753</v>
      </c>
    </row>
    <row r="756" spans="1:6" x14ac:dyDescent="0.25">
      <c r="A756" t="s">
        <v>2007</v>
      </c>
      <c r="B756" s="248">
        <v>131.5</v>
      </c>
      <c r="C756" t="s">
        <v>3743</v>
      </c>
      <c r="D756" t="s">
        <v>3204</v>
      </c>
      <c r="E756" s="249" t="s">
        <v>3001</v>
      </c>
      <c r="F756">
        <v>754</v>
      </c>
    </row>
    <row r="757" spans="1:6" x14ac:dyDescent="0.25">
      <c r="A757" t="s">
        <v>2723</v>
      </c>
      <c r="B757" s="248">
        <v>2282</v>
      </c>
      <c r="C757" t="s">
        <v>3744</v>
      </c>
      <c r="D757" t="s">
        <v>3056</v>
      </c>
      <c r="E757" s="249" t="s">
        <v>3028</v>
      </c>
      <c r="F757">
        <v>755</v>
      </c>
    </row>
    <row r="758" spans="1:6" x14ac:dyDescent="0.25">
      <c r="A758" t="s">
        <v>1970</v>
      </c>
      <c r="B758" s="248">
        <v>2492</v>
      </c>
      <c r="C758" t="s">
        <v>3745</v>
      </c>
      <c r="D758" t="s">
        <v>3204</v>
      </c>
      <c r="E758" s="249" t="s">
        <v>3001</v>
      </c>
      <c r="F758">
        <v>756</v>
      </c>
    </row>
    <row r="759" spans="1:6" x14ac:dyDescent="0.25">
      <c r="A759" t="s">
        <v>1982</v>
      </c>
      <c r="B759" s="248">
        <v>2492</v>
      </c>
      <c r="C759" t="s">
        <v>3746</v>
      </c>
      <c r="D759" t="s">
        <v>3204</v>
      </c>
      <c r="E759" s="249" t="s">
        <v>3001</v>
      </c>
      <c r="F759">
        <v>757</v>
      </c>
    </row>
    <row r="760" spans="1:6" x14ac:dyDescent="0.25">
      <c r="A760" t="s">
        <v>264</v>
      </c>
      <c r="B760" s="248">
        <v>239.5</v>
      </c>
      <c r="C760" t="s">
        <v>3747</v>
      </c>
      <c r="D760" t="s">
        <v>3053</v>
      </c>
      <c r="E760" s="249" t="s">
        <v>3043</v>
      </c>
      <c r="F760">
        <v>758</v>
      </c>
    </row>
    <row r="761" spans="1:6" x14ac:dyDescent="0.25">
      <c r="A761" t="s">
        <v>265</v>
      </c>
      <c r="B761" s="248">
        <v>274.5</v>
      </c>
      <c r="C761" t="s">
        <v>3748</v>
      </c>
      <c r="D761" t="s">
        <v>3053</v>
      </c>
      <c r="E761" s="249" t="s">
        <v>3043</v>
      </c>
      <c r="F761">
        <v>759</v>
      </c>
    </row>
    <row r="762" spans="1:6" x14ac:dyDescent="0.25">
      <c r="A762" t="s">
        <v>266</v>
      </c>
      <c r="B762" s="248">
        <v>316</v>
      </c>
      <c r="C762" t="s">
        <v>3749</v>
      </c>
      <c r="D762" t="s">
        <v>3053</v>
      </c>
      <c r="E762" s="249" t="s">
        <v>3043</v>
      </c>
      <c r="F762">
        <v>760</v>
      </c>
    </row>
    <row r="763" spans="1:6" x14ac:dyDescent="0.25">
      <c r="A763" t="s">
        <v>267</v>
      </c>
      <c r="B763" s="248">
        <v>522</v>
      </c>
      <c r="C763" t="s">
        <v>3750</v>
      </c>
      <c r="D763" t="s">
        <v>3053</v>
      </c>
      <c r="E763" s="249" t="s">
        <v>3043</v>
      </c>
      <c r="F763">
        <v>761</v>
      </c>
    </row>
    <row r="764" spans="1:6" x14ac:dyDescent="0.25">
      <c r="A764" t="s">
        <v>268</v>
      </c>
      <c r="B764" s="248">
        <v>814.5</v>
      </c>
      <c r="C764" t="s">
        <v>3751</v>
      </c>
      <c r="D764" t="s">
        <v>3053</v>
      </c>
      <c r="E764" s="249" t="s">
        <v>3043</v>
      </c>
      <c r="F764">
        <v>762</v>
      </c>
    </row>
    <row r="765" spans="1:6" x14ac:dyDescent="0.25">
      <c r="A765" t="s">
        <v>269</v>
      </c>
      <c r="B765" s="248">
        <v>1046</v>
      </c>
      <c r="C765" t="s">
        <v>3752</v>
      </c>
      <c r="D765" t="s">
        <v>3053</v>
      </c>
      <c r="E765" s="249" t="s">
        <v>3043</v>
      </c>
      <c r="F765">
        <v>763</v>
      </c>
    </row>
    <row r="766" spans="1:6" x14ac:dyDescent="0.25">
      <c r="A766" t="s">
        <v>270</v>
      </c>
      <c r="B766" s="248">
        <v>1752</v>
      </c>
      <c r="C766" t="s">
        <v>3753</v>
      </c>
      <c r="D766" t="s">
        <v>3053</v>
      </c>
      <c r="E766" s="249" t="s">
        <v>3043</v>
      </c>
      <c r="F766">
        <v>764</v>
      </c>
    </row>
    <row r="767" spans="1:6" x14ac:dyDescent="0.25">
      <c r="A767" t="s">
        <v>271</v>
      </c>
      <c r="B767" s="248">
        <v>3185</v>
      </c>
      <c r="C767" t="s">
        <v>3754</v>
      </c>
      <c r="D767" t="s">
        <v>3053</v>
      </c>
      <c r="E767" s="249" t="s">
        <v>3043</v>
      </c>
      <c r="F767">
        <v>765</v>
      </c>
    </row>
    <row r="768" spans="1:6" x14ac:dyDescent="0.25">
      <c r="A768" t="s">
        <v>272</v>
      </c>
      <c r="B768" s="248">
        <v>4779</v>
      </c>
      <c r="C768" t="s">
        <v>3755</v>
      </c>
      <c r="D768" t="s">
        <v>3053</v>
      </c>
      <c r="E768" s="249" t="s">
        <v>3043</v>
      </c>
      <c r="F768">
        <v>766</v>
      </c>
    </row>
    <row r="769" spans="1:6" x14ac:dyDescent="0.25">
      <c r="A769" t="s">
        <v>2935</v>
      </c>
      <c r="B769" s="248">
        <v>25.5</v>
      </c>
      <c r="C769" t="s">
        <v>3756</v>
      </c>
      <c r="D769" t="s">
        <v>3204</v>
      </c>
      <c r="E769" s="249" t="s">
        <v>3050</v>
      </c>
      <c r="F769">
        <v>767</v>
      </c>
    </row>
    <row r="770" spans="1:6" x14ac:dyDescent="0.25">
      <c r="A770" t="s">
        <v>204</v>
      </c>
      <c r="B770" s="248">
        <v>8</v>
      </c>
      <c r="C770" t="s">
        <v>3757</v>
      </c>
      <c r="D770" t="s">
        <v>3204</v>
      </c>
      <c r="E770" s="249" t="s">
        <v>3043</v>
      </c>
      <c r="F770">
        <v>768</v>
      </c>
    </row>
    <row r="771" spans="1:6" x14ac:dyDescent="0.25">
      <c r="A771" t="s">
        <v>207</v>
      </c>
      <c r="B771" s="248">
        <v>9.75</v>
      </c>
      <c r="C771" t="s">
        <v>3758</v>
      </c>
      <c r="D771" t="s">
        <v>3204</v>
      </c>
      <c r="E771" s="249" t="s">
        <v>3043</v>
      </c>
      <c r="F771">
        <v>769</v>
      </c>
    </row>
    <row r="772" spans="1:6" x14ac:dyDescent="0.25">
      <c r="A772" t="s">
        <v>1014</v>
      </c>
      <c r="B772" s="248">
        <v>24</v>
      </c>
      <c r="C772" t="s">
        <v>3759</v>
      </c>
      <c r="D772" t="s">
        <v>3204</v>
      </c>
      <c r="E772" s="249" t="s">
        <v>3046</v>
      </c>
      <c r="F772">
        <v>770</v>
      </c>
    </row>
    <row r="773" spans="1:6" x14ac:dyDescent="0.25">
      <c r="A773" t="s">
        <v>1015</v>
      </c>
      <c r="B773" s="248">
        <v>48.75</v>
      </c>
      <c r="C773" t="s">
        <v>3760</v>
      </c>
      <c r="D773" t="s">
        <v>3204</v>
      </c>
      <c r="E773" s="249" t="s">
        <v>3045</v>
      </c>
      <c r="F773">
        <v>771</v>
      </c>
    </row>
    <row r="774" spans="1:6" x14ac:dyDescent="0.25">
      <c r="A774" t="s">
        <v>1016</v>
      </c>
      <c r="B774" s="248">
        <v>48.75</v>
      </c>
      <c r="C774" t="s">
        <v>3761</v>
      </c>
      <c r="D774" t="s">
        <v>3204</v>
      </c>
      <c r="E774" s="249" t="s">
        <v>3045</v>
      </c>
      <c r="F774">
        <v>772</v>
      </c>
    </row>
    <row r="775" spans="1:6" x14ac:dyDescent="0.25">
      <c r="A775" t="s">
        <v>1017</v>
      </c>
      <c r="B775" s="248">
        <v>95</v>
      </c>
      <c r="C775" t="s">
        <v>3762</v>
      </c>
      <c r="D775" t="s">
        <v>3204</v>
      </c>
      <c r="E775" s="249" t="s">
        <v>3045</v>
      </c>
      <c r="F775">
        <v>773</v>
      </c>
    </row>
    <row r="776" spans="1:6" x14ac:dyDescent="0.25">
      <c r="A776" t="s">
        <v>1018</v>
      </c>
      <c r="B776" s="248">
        <v>100</v>
      </c>
      <c r="C776" t="s">
        <v>3763</v>
      </c>
      <c r="D776" t="s">
        <v>3204</v>
      </c>
      <c r="E776" s="249" t="s">
        <v>3045</v>
      </c>
      <c r="F776">
        <v>774</v>
      </c>
    </row>
    <row r="777" spans="1:6" x14ac:dyDescent="0.25">
      <c r="A777" t="s">
        <v>2249</v>
      </c>
      <c r="B777" s="248">
        <v>50494</v>
      </c>
      <c r="C777" t="s">
        <v>3764</v>
      </c>
      <c r="D777" t="s">
        <v>3246</v>
      </c>
      <c r="E777" s="249" t="s">
        <v>3018</v>
      </c>
      <c r="F777">
        <v>775</v>
      </c>
    </row>
    <row r="778" spans="1:6" x14ac:dyDescent="0.25">
      <c r="A778" t="s">
        <v>99</v>
      </c>
      <c r="B778" s="248">
        <v>316</v>
      </c>
      <c r="C778" t="s">
        <v>3765</v>
      </c>
      <c r="D778" t="s">
        <v>3053</v>
      </c>
      <c r="E778" s="249" t="s">
        <v>3043</v>
      </c>
      <c r="F778">
        <v>776</v>
      </c>
    </row>
    <row r="779" spans="1:6" x14ac:dyDescent="0.25">
      <c r="A779" t="s">
        <v>98</v>
      </c>
      <c r="B779" s="248">
        <v>219</v>
      </c>
      <c r="C779" t="s">
        <v>3766</v>
      </c>
      <c r="D779" t="s">
        <v>3053</v>
      </c>
      <c r="E779" s="249" t="s">
        <v>3043</v>
      </c>
      <c r="F779">
        <v>777</v>
      </c>
    </row>
    <row r="780" spans="1:6" x14ac:dyDescent="0.25">
      <c r="A780" t="s">
        <v>1501</v>
      </c>
      <c r="B780" s="248">
        <v>18.75</v>
      </c>
      <c r="C780" t="s">
        <v>3767</v>
      </c>
      <c r="D780" t="s">
        <v>3204</v>
      </c>
      <c r="E780" s="249" t="s">
        <v>3047</v>
      </c>
      <c r="F780">
        <v>778</v>
      </c>
    </row>
    <row r="781" spans="1:6" x14ac:dyDescent="0.25">
      <c r="A781" t="s">
        <v>218</v>
      </c>
      <c r="B781" s="248">
        <v>466.5</v>
      </c>
      <c r="C781" t="s">
        <v>3768</v>
      </c>
      <c r="D781" t="s">
        <v>3053</v>
      </c>
      <c r="E781" s="249" t="s">
        <v>3043</v>
      </c>
      <c r="F781">
        <v>779</v>
      </c>
    </row>
    <row r="782" spans="1:6" x14ac:dyDescent="0.25">
      <c r="A782" t="s">
        <v>220</v>
      </c>
      <c r="B782" s="248">
        <v>471.5</v>
      </c>
      <c r="C782" t="s">
        <v>3769</v>
      </c>
      <c r="D782" t="s">
        <v>3053</v>
      </c>
      <c r="E782" s="249" t="s">
        <v>3043</v>
      </c>
      <c r="F782">
        <v>780</v>
      </c>
    </row>
    <row r="783" spans="1:6" x14ac:dyDescent="0.25">
      <c r="A783" t="s">
        <v>852</v>
      </c>
      <c r="B783" s="248">
        <v>1161</v>
      </c>
      <c r="C783" t="s">
        <v>3770</v>
      </c>
      <c r="D783" t="s">
        <v>3053</v>
      </c>
      <c r="E783" s="249" t="s">
        <v>3045</v>
      </c>
      <c r="F783">
        <v>781</v>
      </c>
    </row>
    <row r="784" spans="1:6" x14ac:dyDescent="0.25">
      <c r="A784" t="s">
        <v>842</v>
      </c>
      <c r="B784" s="248">
        <v>1001</v>
      </c>
      <c r="C784" t="s">
        <v>3771</v>
      </c>
      <c r="D784" t="s">
        <v>3053</v>
      </c>
      <c r="E784" s="249" t="s">
        <v>3045</v>
      </c>
      <c r="F784">
        <v>782</v>
      </c>
    </row>
    <row r="785" spans="1:6" x14ac:dyDescent="0.25">
      <c r="A785" t="s">
        <v>845</v>
      </c>
      <c r="B785" s="248">
        <v>1117</v>
      </c>
      <c r="C785" t="s">
        <v>3772</v>
      </c>
      <c r="D785" t="s">
        <v>3053</v>
      </c>
      <c r="E785" s="249" t="s">
        <v>3045</v>
      </c>
      <c r="F785">
        <v>783</v>
      </c>
    </row>
    <row r="786" spans="1:6" x14ac:dyDescent="0.25">
      <c r="A786" t="s">
        <v>848</v>
      </c>
      <c r="B786" s="248">
        <v>1129</v>
      </c>
      <c r="C786" t="s">
        <v>3773</v>
      </c>
      <c r="D786" t="s">
        <v>3053</v>
      </c>
      <c r="E786" s="249" t="s">
        <v>3045</v>
      </c>
      <c r="F786">
        <v>784</v>
      </c>
    </row>
    <row r="787" spans="1:6" x14ac:dyDescent="0.25">
      <c r="A787" t="s">
        <v>851</v>
      </c>
      <c r="B787" s="248">
        <v>1152</v>
      </c>
      <c r="C787" t="s">
        <v>3774</v>
      </c>
      <c r="D787" t="s">
        <v>3053</v>
      </c>
      <c r="E787" s="249" t="s">
        <v>3045</v>
      </c>
      <c r="F787">
        <v>785</v>
      </c>
    </row>
    <row r="788" spans="1:6" x14ac:dyDescent="0.25">
      <c r="A788" t="s">
        <v>1144</v>
      </c>
      <c r="B788" s="248">
        <v>1587</v>
      </c>
      <c r="C788" t="s">
        <v>3775</v>
      </c>
      <c r="D788" t="s">
        <v>3053</v>
      </c>
      <c r="E788" s="249" t="s">
        <v>3046</v>
      </c>
      <c r="F788">
        <v>786</v>
      </c>
    </row>
    <row r="789" spans="1:6" x14ac:dyDescent="0.25">
      <c r="A789" t="s">
        <v>1147</v>
      </c>
      <c r="B789" s="248">
        <v>1790</v>
      </c>
      <c r="C789" t="s">
        <v>3776</v>
      </c>
      <c r="D789" t="s">
        <v>3053</v>
      </c>
      <c r="E789" s="249" t="s">
        <v>3046</v>
      </c>
      <c r="F789">
        <v>787</v>
      </c>
    </row>
    <row r="790" spans="1:6" x14ac:dyDescent="0.25">
      <c r="A790" t="s">
        <v>1151</v>
      </c>
      <c r="B790" s="248">
        <v>1815</v>
      </c>
      <c r="C790" t="s">
        <v>3777</v>
      </c>
      <c r="D790" t="s">
        <v>3053</v>
      </c>
      <c r="E790" s="249" t="s">
        <v>3046</v>
      </c>
      <c r="F790">
        <v>788</v>
      </c>
    </row>
    <row r="791" spans="1:6" x14ac:dyDescent="0.25">
      <c r="A791" t="s">
        <v>1154</v>
      </c>
      <c r="B791" s="248">
        <v>2007</v>
      </c>
      <c r="C791" t="s">
        <v>3778</v>
      </c>
      <c r="D791" t="s">
        <v>3053</v>
      </c>
      <c r="E791" s="249" t="s">
        <v>3046</v>
      </c>
      <c r="F791">
        <v>789</v>
      </c>
    </row>
    <row r="792" spans="1:6" x14ac:dyDescent="0.25">
      <c r="A792" t="s">
        <v>1156</v>
      </c>
      <c r="B792" s="248">
        <v>2086</v>
      </c>
      <c r="C792" t="s">
        <v>3779</v>
      </c>
      <c r="D792" t="s">
        <v>3053</v>
      </c>
      <c r="E792" s="249" t="s">
        <v>3046</v>
      </c>
      <c r="F792">
        <v>790</v>
      </c>
    </row>
    <row r="793" spans="1:6" x14ac:dyDescent="0.25">
      <c r="A793" t="s">
        <v>903</v>
      </c>
      <c r="B793" s="248">
        <v>1301</v>
      </c>
      <c r="C793" t="s">
        <v>3780</v>
      </c>
      <c r="D793" t="s">
        <v>3053</v>
      </c>
      <c r="E793" s="249" t="s">
        <v>3045</v>
      </c>
      <c r="F793">
        <v>791</v>
      </c>
    </row>
    <row r="794" spans="1:6" x14ac:dyDescent="0.25">
      <c r="A794" t="s">
        <v>1204</v>
      </c>
      <c r="B794" s="248">
        <v>1815</v>
      </c>
      <c r="C794" t="s">
        <v>3781</v>
      </c>
      <c r="D794" t="s">
        <v>3053</v>
      </c>
      <c r="E794" s="249" t="s">
        <v>3046</v>
      </c>
      <c r="F794">
        <v>792</v>
      </c>
    </row>
    <row r="795" spans="1:6" x14ac:dyDescent="0.25">
      <c r="A795" t="s">
        <v>1208</v>
      </c>
      <c r="B795" s="248">
        <v>2086</v>
      </c>
      <c r="C795" t="s">
        <v>3782</v>
      </c>
      <c r="D795" t="s">
        <v>3053</v>
      </c>
      <c r="E795" s="249" t="s">
        <v>3046</v>
      </c>
      <c r="F795">
        <v>793</v>
      </c>
    </row>
    <row r="796" spans="1:6" x14ac:dyDescent="0.25">
      <c r="A796" t="s">
        <v>940</v>
      </c>
      <c r="B796" s="248">
        <v>1712</v>
      </c>
      <c r="C796" t="s">
        <v>3783</v>
      </c>
      <c r="D796" t="s">
        <v>3053</v>
      </c>
      <c r="E796" s="249" t="s">
        <v>3045</v>
      </c>
      <c r="F796">
        <v>794</v>
      </c>
    </row>
    <row r="797" spans="1:6" x14ac:dyDescent="0.25">
      <c r="A797" t="s">
        <v>943</v>
      </c>
      <c r="B797" s="248">
        <v>1520</v>
      </c>
      <c r="C797" t="s">
        <v>3784</v>
      </c>
      <c r="D797" t="s">
        <v>3053</v>
      </c>
      <c r="E797" s="249" t="s">
        <v>3045</v>
      </c>
      <c r="F797">
        <v>795</v>
      </c>
    </row>
    <row r="798" spans="1:6" x14ac:dyDescent="0.25">
      <c r="A798" t="s">
        <v>946</v>
      </c>
      <c r="B798" s="248">
        <v>1664</v>
      </c>
      <c r="C798" t="s">
        <v>3785</v>
      </c>
      <c r="D798" t="s">
        <v>3053</v>
      </c>
      <c r="E798" s="249" t="s">
        <v>3045</v>
      </c>
      <c r="F798">
        <v>796</v>
      </c>
    </row>
    <row r="799" spans="1:6" x14ac:dyDescent="0.25">
      <c r="A799" t="s">
        <v>948</v>
      </c>
      <c r="B799" s="248">
        <v>1686</v>
      </c>
      <c r="C799" t="s">
        <v>3786</v>
      </c>
      <c r="D799" t="s">
        <v>3053</v>
      </c>
      <c r="E799" s="249" t="s">
        <v>3045</v>
      </c>
      <c r="F799">
        <v>797</v>
      </c>
    </row>
    <row r="800" spans="1:6" x14ac:dyDescent="0.25">
      <c r="A800" t="s">
        <v>1225</v>
      </c>
      <c r="B800" s="248">
        <v>2160</v>
      </c>
      <c r="C800" t="s">
        <v>3787</v>
      </c>
      <c r="D800" t="s">
        <v>3053</v>
      </c>
      <c r="E800" s="249" t="s">
        <v>3046</v>
      </c>
      <c r="F800">
        <v>798</v>
      </c>
    </row>
    <row r="801" spans="1:6" x14ac:dyDescent="0.25">
      <c r="A801" t="s">
        <v>1228</v>
      </c>
      <c r="B801" s="248">
        <v>3175</v>
      </c>
      <c r="C801" t="s">
        <v>3788</v>
      </c>
      <c r="D801" t="s">
        <v>3053</v>
      </c>
      <c r="E801" s="249" t="s">
        <v>3046</v>
      </c>
      <c r="F801">
        <v>799</v>
      </c>
    </row>
    <row r="802" spans="1:6" x14ac:dyDescent="0.25">
      <c r="A802" t="s">
        <v>1231</v>
      </c>
      <c r="B802" s="248">
        <v>3232</v>
      </c>
      <c r="C802" t="s">
        <v>3789</v>
      </c>
      <c r="D802" t="s">
        <v>3053</v>
      </c>
      <c r="E802" s="249" t="s">
        <v>3046</v>
      </c>
      <c r="F802">
        <v>800</v>
      </c>
    </row>
    <row r="803" spans="1:6" x14ac:dyDescent="0.25">
      <c r="A803" t="s">
        <v>1233</v>
      </c>
      <c r="B803" s="248">
        <v>2690</v>
      </c>
      <c r="C803" t="s">
        <v>3790</v>
      </c>
      <c r="D803" t="s">
        <v>3053</v>
      </c>
      <c r="E803" s="249" t="s">
        <v>3046</v>
      </c>
      <c r="F803">
        <v>801</v>
      </c>
    </row>
    <row r="804" spans="1:6" x14ac:dyDescent="0.25">
      <c r="A804" t="s">
        <v>1262</v>
      </c>
      <c r="B804" s="248">
        <v>2686</v>
      </c>
      <c r="C804" t="s">
        <v>3791</v>
      </c>
      <c r="D804" t="s">
        <v>3053</v>
      </c>
      <c r="E804" s="249" t="s">
        <v>3046</v>
      </c>
      <c r="F804">
        <v>802</v>
      </c>
    </row>
    <row r="805" spans="1:6" x14ac:dyDescent="0.25">
      <c r="A805" t="s">
        <v>1687</v>
      </c>
      <c r="B805" s="248">
        <v>18.75</v>
      </c>
      <c r="C805" t="s">
        <v>3792</v>
      </c>
      <c r="D805" t="s">
        <v>3204</v>
      </c>
      <c r="E805" s="249" t="s">
        <v>3048</v>
      </c>
      <c r="F805">
        <v>803</v>
      </c>
    </row>
    <row r="806" spans="1:6" x14ac:dyDescent="0.25">
      <c r="A806" t="s">
        <v>1678</v>
      </c>
      <c r="B806" s="248">
        <v>18.75</v>
      </c>
      <c r="C806" t="s">
        <v>3793</v>
      </c>
      <c r="D806" t="s">
        <v>3204</v>
      </c>
      <c r="E806" s="249" t="s">
        <v>3048</v>
      </c>
      <c r="F806">
        <v>804</v>
      </c>
    </row>
    <row r="807" spans="1:6" x14ac:dyDescent="0.25">
      <c r="A807" t="s">
        <v>1669</v>
      </c>
      <c r="B807" s="248">
        <v>8850</v>
      </c>
      <c r="C807" t="s">
        <v>3794</v>
      </c>
      <c r="D807" t="s">
        <v>3053</v>
      </c>
      <c r="E807" s="249" t="s">
        <v>3048</v>
      </c>
      <c r="F807">
        <v>805</v>
      </c>
    </row>
    <row r="808" spans="1:6" x14ac:dyDescent="0.25">
      <c r="A808" t="s">
        <v>1218</v>
      </c>
      <c r="B808" s="248">
        <v>10.75</v>
      </c>
      <c r="C808" t="s">
        <v>3795</v>
      </c>
      <c r="D808" t="s">
        <v>3204</v>
      </c>
      <c r="E808" s="249" t="s">
        <v>3046</v>
      </c>
      <c r="F808">
        <v>806</v>
      </c>
    </row>
    <row r="809" spans="1:6" x14ac:dyDescent="0.25">
      <c r="A809" t="s">
        <v>1677</v>
      </c>
      <c r="B809" s="248">
        <v>15.75</v>
      </c>
      <c r="C809" t="s">
        <v>3796</v>
      </c>
      <c r="D809" t="s">
        <v>3204</v>
      </c>
      <c r="E809" s="249" t="s">
        <v>3048</v>
      </c>
      <c r="F809">
        <v>807</v>
      </c>
    </row>
    <row r="810" spans="1:6" x14ac:dyDescent="0.25">
      <c r="A810" t="s">
        <v>1686</v>
      </c>
      <c r="B810" s="248">
        <v>15.75</v>
      </c>
      <c r="C810" t="s">
        <v>3797</v>
      </c>
      <c r="D810" t="s">
        <v>3204</v>
      </c>
      <c r="E810" s="249" t="s">
        <v>3048</v>
      </c>
      <c r="F810">
        <v>808</v>
      </c>
    </row>
    <row r="811" spans="1:6" x14ac:dyDescent="0.25">
      <c r="A811" t="s">
        <v>1676</v>
      </c>
      <c r="B811" s="248">
        <v>11.25</v>
      </c>
      <c r="C811" t="s">
        <v>3798</v>
      </c>
      <c r="D811" t="s">
        <v>3204</v>
      </c>
      <c r="E811" s="249" t="s">
        <v>3048</v>
      </c>
      <c r="F811">
        <v>809</v>
      </c>
    </row>
    <row r="812" spans="1:6" x14ac:dyDescent="0.25">
      <c r="A812" t="s">
        <v>1685</v>
      </c>
      <c r="B812" s="248">
        <v>10.75</v>
      </c>
      <c r="C812" t="s">
        <v>3799</v>
      </c>
      <c r="D812" t="s">
        <v>3204</v>
      </c>
      <c r="E812" s="249" t="s">
        <v>3048</v>
      </c>
      <c r="F812">
        <v>810</v>
      </c>
    </row>
    <row r="813" spans="1:6" x14ac:dyDescent="0.25">
      <c r="A813" t="s">
        <v>1675</v>
      </c>
      <c r="B813" s="248">
        <v>10.75</v>
      </c>
      <c r="C813" t="s">
        <v>3800</v>
      </c>
      <c r="D813" t="s">
        <v>3204</v>
      </c>
      <c r="E813" s="249" t="s">
        <v>3048</v>
      </c>
      <c r="F813">
        <v>811</v>
      </c>
    </row>
    <row r="814" spans="1:6" x14ac:dyDescent="0.25">
      <c r="A814" t="s">
        <v>2248</v>
      </c>
      <c r="B814" s="248">
        <v>43502</v>
      </c>
      <c r="C814" t="s">
        <v>3801</v>
      </c>
      <c r="D814" t="s">
        <v>3246</v>
      </c>
      <c r="E814" s="249" t="s">
        <v>3018</v>
      </c>
      <c r="F814">
        <v>812</v>
      </c>
    </row>
    <row r="815" spans="1:6" x14ac:dyDescent="0.25">
      <c r="A815" t="s">
        <v>273</v>
      </c>
      <c r="B815" s="248">
        <v>8820</v>
      </c>
      <c r="C815" t="s">
        <v>3802</v>
      </c>
      <c r="D815" t="s">
        <v>3053</v>
      </c>
      <c r="E815" s="249" t="s">
        <v>3043</v>
      </c>
      <c r="F815">
        <v>813</v>
      </c>
    </row>
    <row r="816" spans="1:6" x14ac:dyDescent="0.25">
      <c r="A816" t="s">
        <v>274</v>
      </c>
      <c r="B816" s="248">
        <v>12516</v>
      </c>
      <c r="C816" t="s">
        <v>3803</v>
      </c>
      <c r="D816" t="s">
        <v>3053</v>
      </c>
      <c r="E816" s="249" t="s">
        <v>3043</v>
      </c>
      <c r="F816">
        <v>814</v>
      </c>
    </row>
    <row r="817" spans="1:6" x14ac:dyDescent="0.25">
      <c r="A817" t="s">
        <v>1217</v>
      </c>
      <c r="B817" s="248">
        <v>8</v>
      </c>
      <c r="C817" t="s">
        <v>3804</v>
      </c>
      <c r="D817" t="s">
        <v>3204</v>
      </c>
      <c r="E817" s="249" t="s">
        <v>3046</v>
      </c>
      <c r="F817">
        <v>815</v>
      </c>
    </row>
    <row r="818" spans="1:6" x14ac:dyDescent="0.25">
      <c r="A818" t="s">
        <v>1787</v>
      </c>
      <c r="B818" s="248">
        <v>11.25</v>
      </c>
      <c r="C818" t="s">
        <v>3805</v>
      </c>
      <c r="D818" t="s">
        <v>3204</v>
      </c>
      <c r="E818" s="249" t="s">
        <v>3048</v>
      </c>
      <c r="F818">
        <v>816</v>
      </c>
    </row>
    <row r="819" spans="1:6" x14ac:dyDescent="0.25">
      <c r="A819" t="s">
        <v>1679</v>
      </c>
      <c r="B819" s="248">
        <v>23.5</v>
      </c>
      <c r="C819" t="s">
        <v>3806</v>
      </c>
      <c r="D819" t="s">
        <v>3204</v>
      </c>
      <c r="E819" s="249" t="s">
        <v>3048</v>
      </c>
      <c r="F819">
        <v>817</v>
      </c>
    </row>
    <row r="820" spans="1:6" x14ac:dyDescent="0.25">
      <c r="A820" t="s">
        <v>1688</v>
      </c>
      <c r="B820" s="248">
        <v>23.5</v>
      </c>
      <c r="C820" t="s">
        <v>3807</v>
      </c>
      <c r="D820" t="s">
        <v>3204</v>
      </c>
      <c r="E820" s="249" t="s">
        <v>3048</v>
      </c>
      <c r="F820">
        <v>818</v>
      </c>
    </row>
    <row r="821" spans="1:6" x14ac:dyDescent="0.25">
      <c r="A821" t="s">
        <v>1689</v>
      </c>
      <c r="B821" s="248">
        <v>23.5</v>
      </c>
      <c r="C821" t="s">
        <v>3808</v>
      </c>
      <c r="D821" t="s">
        <v>3204</v>
      </c>
      <c r="E821" s="249" t="s">
        <v>3048</v>
      </c>
      <c r="F821">
        <v>819</v>
      </c>
    </row>
    <row r="822" spans="1:6" x14ac:dyDescent="0.25">
      <c r="A822" t="s">
        <v>1788</v>
      </c>
      <c r="B822" s="248">
        <v>33.5</v>
      </c>
      <c r="C822" t="s">
        <v>3809</v>
      </c>
      <c r="D822" t="s">
        <v>3204</v>
      </c>
      <c r="E822" s="249" t="s">
        <v>3048</v>
      </c>
      <c r="F822">
        <v>820</v>
      </c>
    </row>
    <row r="823" spans="1:6" x14ac:dyDescent="0.25">
      <c r="A823" t="s">
        <v>1971</v>
      </c>
      <c r="B823" s="248">
        <v>2908</v>
      </c>
      <c r="C823" t="s">
        <v>3810</v>
      </c>
      <c r="D823" t="s">
        <v>3204</v>
      </c>
      <c r="E823" s="249" t="s">
        <v>3001</v>
      </c>
      <c r="F823">
        <v>821</v>
      </c>
    </row>
    <row r="824" spans="1:6" x14ac:dyDescent="0.25">
      <c r="A824" t="s">
        <v>1983</v>
      </c>
      <c r="B824" s="248">
        <v>2908</v>
      </c>
      <c r="C824" t="s">
        <v>3811</v>
      </c>
      <c r="D824" t="s">
        <v>3204</v>
      </c>
      <c r="E824" s="249" t="s">
        <v>3001</v>
      </c>
      <c r="F824">
        <v>822</v>
      </c>
    </row>
    <row r="825" spans="1:6" x14ac:dyDescent="0.25">
      <c r="A825" t="s">
        <v>1674</v>
      </c>
      <c r="B825" s="248">
        <v>7.25</v>
      </c>
      <c r="C825" t="s">
        <v>3812</v>
      </c>
      <c r="D825" t="s">
        <v>3204</v>
      </c>
      <c r="E825" s="249" t="s">
        <v>3048</v>
      </c>
      <c r="F825">
        <v>823</v>
      </c>
    </row>
    <row r="826" spans="1:6" x14ac:dyDescent="0.25">
      <c r="A826" t="s">
        <v>1683</v>
      </c>
      <c r="B826" s="248">
        <v>7.25</v>
      </c>
      <c r="C826" t="s">
        <v>3813</v>
      </c>
      <c r="D826" t="s">
        <v>3204</v>
      </c>
      <c r="E826" s="249" t="s">
        <v>3048</v>
      </c>
      <c r="F826">
        <v>824</v>
      </c>
    </row>
    <row r="827" spans="1:6" x14ac:dyDescent="0.25">
      <c r="A827" t="s">
        <v>1690</v>
      </c>
      <c r="B827" s="248">
        <v>33.5</v>
      </c>
      <c r="C827" t="s">
        <v>3814</v>
      </c>
      <c r="D827" t="s">
        <v>3204</v>
      </c>
      <c r="E827" s="249" t="s">
        <v>3048</v>
      </c>
      <c r="F827">
        <v>825</v>
      </c>
    </row>
    <row r="828" spans="1:6" x14ac:dyDescent="0.25">
      <c r="A828" t="s">
        <v>1670</v>
      </c>
      <c r="B828" s="248">
        <v>16388</v>
      </c>
      <c r="C828" t="s">
        <v>3815</v>
      </c>
      <c r="D828" t="s">
        <v>3053</v>
      </c>
      <c r="E828" s="249" t="s">
        <v>3048</v>
      </c>
      <c r="F828">
        <v>826</v>
      </c>
    </row>
    <row r="829" spans="1:6" x14ac:dyDescent="0.25">
      <c r="A829" t="s">
        <v>2510</v>
      </c>
      <c r="B829" s="248">
        <v>2348</v>
      </c>
      <c r="C829" t="s">
        <v>3816</v>
      </c>
      <c r="D829" t="s">
        <v>3817</v>
      </c>
      <c r="E829" s="249" t="s">
        <v>3050</v>
      </c>
      <c r="F829">
        <v>827</v>
      </c>
    </row>
    <row r="830" spans="1:6" x14ac:dyDescent="0.25">
      <c r="A830" t="s">
        <v>2532</v>
      </c>
      <c r="B830" s="248">
        <v>3203</v>
      </c>
      <c r="C830" t="s">
        <v>3818</v>
      </c>
      <c r="D830" t="s">
        <v>3817</v>
      </c>
      <c r="E830" s="249" t="s">
        <v>3050</v>
      </c>
      <c r="F830">
        <v>828</v>
      </c>
    </row>
    <row r="831" spans="1:6" x14ac:dyDescent="0.25">
      <c r="A831" t="s">
        <v>2511</v>
      </c>
      <c r="B831" s="248">
        <v>2348</v>
      </c>
      <c r="C831" t="s">
        <v>3819</v>
      </c>
      <c r="D831" t="s">
        <v>3817</v>
      </c>
      <c r="E831" s="249" t="s">
        <v>3050</v>
      </c>
      <c r="F831">
        <v>829</v>
      </c>
    </row>
    <row r="832" spans="1:6" x14ac:dyDescent="0.25">
      <c r="A832" t="s">
        <v>2512</v>
      </c>
      <c r="B832" s="248">
        <v>2580</v>
      </c>
      <c r="C832" t="s">
        <v>3820</v>
      </c>
      <c r="D832" t="s">
        <v>3817</v>
      </c>
      <c r="E832" s="249" t="s">
        <v>3050</v>
      </c>
      <c r="F832">
        <v>830</v>
      </c>
    </row>
    <row r="833" spans="1:6" x14ac:dyDescent="0.25">
      <c r="A833" t="s">
        <v>2533</v>
      </c>
      <c r="B833" s="248">
        <v>3611</v>
      </c>
      <c r="C833" t="s">
        <v>3821</v>
      </c>
      <c r="D833" t="s">
        <v>3817</v>
      </c>
      <c r="E833" s="249" t="s">
        <v>3050</v>
      </c>
      <c r="F833">
        <v>831</v>
      </c>
    </row>
    <row r="834" spans="1:6" x14ac:dyDescent="0.25">
      <c r="A834" t="s">
        <v>2513</v>
      </c>
      <c r="B834" s="248">
        <v>2915</v>
      </c>
      <c r="C834" t="s">
        <v>3822</v>
      </c>
      <c r="D834" t="s">
        <v>3817</v>
      </c>
      <c r="E834" s="249" t="s">
        <v>3050</v>
      </c>
      <c r="F834">
        <v>832</v>
      </c>
    </row>
    <row r="835" spans="1:6" x14ac:dyDescent="0.25">
      <c r="A835" t="s">
        <v>2546</v>
      </c>
      <c r="B835" s="248">
        <v>4634</v>
      </c>
      <c r="C835" t="s">
        <v>3823</v>
      </c>
      <c r="D835" t="s">
        <v>3817</v>
      </c>
      <c r="E835" s="249" t="s">
        <v>3050</v>
      </c>
      <c r="F835">
        <v>833</v>
      </c>
    </row>
    <row r="836" spans="1:6" x14ac:dyDescent="0.25">
      <c r="A836" t="s">
        <v>2514</v>
      </c>
      <c r="B836" s="248">
        <v>5854</v>
      </c>
      <c r="C836" t="s">
        <v>3824</v>
      </c>
      <c r="D836" t="s">
        <v>3817</v>
      </c>
      <c r="E836" s="249" t="s">
        <v>3050</v>
      </c>
      <c r="F836">
        <v>834</v>
      </c>
    </row>
    <row r="837" spans="1:6" x14ac:dyDescent="0.25">
      <c r="A837" t="s">
        <v>2515</v>
      </c>
      <c r="B837" s="248">
        <v>7510</v>
      </c>
      <c r="C837" t="s">
        <v>3825</v>
      </c>
      <c r="D837" t="s">
        <v>3817</v>
      </c>
      <c r="E837" s="249" t="s">
        <v>3050</v>
      </c>
      <c r="F837">
        <v>835</v>
      </c>
    </row>
    <row r="838" spans="1:6" x14ac:dyDescent="0.25">
      <c r="A838" t="s">
        <v>2547</v>
      </c>
      <c r="B838" s="248">
        <v>8684</v>
      </c>
      <c r="C838" t="s">
        <v>3826</v>
      </c>
      <c r="D838" t="s">
        <v>3817</v>
      </c>
      <c r="E838" s="249" t="s">
        <v>3050</v>
      </c>
      <c r="F838">
        <v>836</v>
      </c>
    </row>
    <row r="839" spans="1:6" x14ac:dyDescent="0.25">
      <c r="A839" t="s">
        <v>2516</v>
      </c>
      <c r="B839" s="248">
        <v>8955</v>
      </c>
      <c r="C839" t="s">
        <v>3827</v>
      </c>
      <c r="D839" t="s">
        <v>3817</v>
      </c>
      <c r="E839" s="249" t="s">
        <v>3050</v>
      </c>
      <c r="F839">
        <v>837</v>
      </c>
    </row>
    <row r="840" spans="1:6" x14ac:dyDescent="0.25">
      <c r="A840" t="s">
        <v>2548</v>
      </c>
      <c r="B840" s="248">
        <v>10701</v>
      </c>
      <c r="C840" t="s">
        <v>3828</v>
      </c>
      <c r="D840" t="s">
        <v>3817</v>
      </c>
      <c r="E840" s="249" t="s">
        <v>3050</v>
      </c>
      <c r="F840">
        <v>838</v>
      </c>
    </row>
    <row r="841" spans="1:6" x14ac:dyDescent="0.25">
      <c r="A841" t="s">
        <v>2517</v>
      </c>
      <c r="B841" s="248">
        <v>12988</v>
      </c>
      <c r="C841" t="s">
        <v>3829</v>
      </c>
      <c r="D841" t="s">
        <v>3817</v>
      </c>
      <c r="E841" s="249" t="s">
        <v>3050</v>
      </c>
      <c r="F841">
        <v>839</v>
      </c>
    </row>
    <row r="842" spans="1:6" x14ac:dyDescent="0.25">
      <c r="A842" t="s">
        <v>2549</v>
      </c>
      <c r="B842" s="248">
        <v>27472</v>
      </c>
      <c r="C842" t="s">
        <v>3830</v>
      </c>
      <c r="D842" t="s">
        <v>3817</v>
      </c>
      <c r="E842" s="249" t="s">
        <v>3050</v>
      </c>
      <c r="F842">
        <v>840</v>
      </c>
    </row>
    <row r="843" spans="1:6" x14ac:dyDescent="0.25">
      <c r="A843" t="s">
        <v>2518</v>
      </c>
      <c r="B843" s="248">
        <v>21756</v>
      </c>
      <c r="C843" t="s">
        <v>3831</v>
      </c>
      <c r="D843" t="s">
        <v>3817</v>
      </c>
      <c r="E843" s="249" t="s">
        <v>3050</v>
      </c>
      <c r="F843">
        <v>841</v>
      </c>
    </row>
    <row r="844" spans="1:6" x14ac:dyDescent="0.25">
      <c r="A844" t="s">
        <v>2523</v>
      </c>
      <c r="B844" s="248">
        <v>3170</v>
      </c>
      <c r="C844" t="s">
        <v>3832</v>
      </c>
      <c r="D844" t="s">
        <v>3817</v>
      </c>
      <c r="E844" s="249" t="s">
        <v>3050</v>
      </c>
      <c r="F844">
        <v>842</v>
      </c>
    </row>
    <row r="845" spans="1:6" x14ac:dyDescent="0.25">
      <c r="A845" t="s">
        <v>2536</v>
      </c>
      <c r="B845" s="248">
        <v>3331</v>
      </c>
      <c r="C845" t="s">
        <v>3833</v>
      </c>
      <c r="D845" t="s">
        <v>3817</v>
      </c>
      <c r="E845" s="249" t="s">
        <v>3050</v>
      </c>
      <c r="F845">
        <v>843</v>
      </c>
    </row>
    <row r="846" spans="1:6" x14ac:dyDescent="0.25">
      <c r="A846" t="s">
        <v>2524</v>
      </c>
      <c r="B846" s="248">
        <v>3982</v>
      </c>
      <c r="C846" t="s">
        <v>3834</v>
      </c>
      <c r="D846" t="s">
        <v>3817</v>
      </c>
      <c r="E846" s="249" t="s">
        <v>3050</v>
      </c>
      <c r="F846">
        <v>844</v>
      </c>
    </row>
    <row r="847" spans="1:6" x14ac:dyDescent="0.25">
      <c r="A847" t="s">
        <v>2537</v>
      </c>
      <c r="B847" s="248">
        <v>4308</v>
      </c>
      <c r="C847" t="s">
        <v>3835</v>
      </c>
      <c r="D847" t="s">
        <v>3817</v>
      </c>
      <c r="E847" s="249" t="s">
        <v>3050</v>
      </c>
      <c r="F847">
        <v>845</v>
      </c>
    </row>
    <row r="848" spans="1:6" x14ac:dyDescent="0.25">
      <c r="A848" t="s">
        <v>2525</v>
      </c>
      <c r="B848" s="248">
        <v>3750</v>
      </c>
      <c r="C848" t="s">
        <v>3836</v>
      </c>
      <c r="D848" t="s">
        <v>3817</v>
      </c>
      <c r="E848" s="249" t="s">
        <v>3050</v>
      </c>
      <c r="F848">
        <v>846</v>
      </c>
    </row>
    <row r="849" spans="1:6" x14ac:dyDescent="0.25">
      <c r="A849" t="s">
        <v>2538</v>
      </c>
      <c r="B849" s="248">
        <v>4308</v>
      </c>
      <c r="C849" t="s">
        <v>3837</v>
      </c>
      <c r="D849" t="s">
        <v>3817</v>
      </c>
      <c r="E849" s="249" t="s">
        <v>3050</v>
      </c>
      <c r="F849">
        <v>847</v>
      </c>
    </row>
    <row r="850" spans="1:6" x14ac:dyDescent="0.25">
      <c r="A850" t="s">
        <v>2526</v>
      </c>
      <c r="B850" s="248">
        <v>4905</v>
      </c>
      <c r="C850" t="s">
        <v>3838</v>
      </c>
      <c r="D850" t="s">
        <v>3817</v>
      </c>
      <c r="E850" s="249" t="s">
        <v>3050</v>
      </c>
      <c r="F850">
        <v>848</v>
      </c>
    </row>
    <row r="851" spans="1:6" x14ac:dyDescent="0.25">
      <c r="A851" t="s">
        <v>2539</v>
      </c>
      <c r="B851" s="248">
        <v>5519</v>
      </c>
      <c r="C851" t="s">
        <v>3839</v>
      </c>
      <c r="D851" t="s">
        <v>3817</v>
      </c>
      <c r="E851" s="249" t="s">
        <v>3050</v>
      </c>
      <c r="F851">
        <v>849</v>
      </c>
    </row>
    <row r="852" spans="1:6" x14ac:dyDescent="0.25">
      <c r="A852" t="s">
        <v>2553</v>
      </c>
      <c r="B852" s="248">
        <v>5536</v>
      </c>
      <c r="C852" t="s">
        <v>3840</v>
      </c>
      <c r="D852" t="s">
        <v>3817</v>
      </c>
      <c r="E852" s="249" t="s">
        <v>3050</v>
      </c>
      <c r="F852">
        <v>850</v>
      </c>
    </row>
    <row r="853" spans="1:6" x14ac:dyDescent="0.25">
      <c r="A853" t="s">
        <v>2527</v>
      </c>
      <c r="B853" s="248">
        <v>6127</v>
      </c>
      <c r="C853" t="s">
        <v>3841</v>
      </c>
      <c r="D853" t="s">
        <v>3817</v>
      </c>
      <c r="E853" s="249" t="s">
        <v>3050</v>
      </c>
      <c r="F853">
        <v>851</v>
      </c>
    </row>
    <row r="854" spans="1:6" x14ac:dyDescent="0.25">
      <c r="A854" t="s">
        <v>2528</v>
      </c>
      <c r="B854" s="248">
        <v>7825</v>
      </c>
      <c r="C854" t="s">
        <v>3842</v>
      </c>
      <c r="D854" t="s">
        <v>3817</v>
      </c>
      <c r="E854" s="249" t="s">
        <v>3050</v>
      </c>
      <c r="F854">
        <v>852</v>
      </c>
    </row>
    <row r="855" spans="1:6" x14ac:dyDescent="0.25">
      <c r="A855" t="s">
        <v>2540</v>
      </c>
      <c r="B855" s="248">
        <v>8792</v>
      </c>
      <c r="C855" t="s">
        <v>3843</v>
      </c>
      <c r="D855" t="s">
        <v>3817</v>
      </c>
      <c r="E855" s="249" t="s">
        <v>3050</v>
      </c>
      <c r="F855">
        <v>853</v>
      </c>
    </row>
    <row r="856" spans="1:6" x14ac:dyDescent="0.25">
      <c r="A856" t="s">
        <v>2554</v>
      </c>
      <c r="B856" s="248">
        <v>8077</v>
      </c>
      <c r="C856" t="s">
        <v>3844</v>
      </c>
      <c r="D856" t="s">
        <v>3817</v>
      </c>
      <c r="E856" s="249" t="s">
        <v>3050</v>
      </c>
      <c r="F856">
        <v>854</v>
      </c>
    </row>
    <row r="857" spans="1:6" x14ac:dyDescent="0.25">
      <c r="A857" t="s">
        <v>2529</v>
      </c>
      <c r="B857" s="248">
        <v>9308</v>
      </c>
      <c r="C857" t="s">
        <v>3845</v>
      </c>
      <c r="D857" t="s">
        <v>3817</v>
      </c>
      <c r="E857" s="249" t="s">
        <v>3050</v>
      </c>
      <c r="F857">
        <v>855</v>
      </c>
    </row>
    <row r="858" spans="1:6" x14ac:dyDescent="0.25">
      <c r="A858" t="s">
        <v>2555</v>
      </c>
      <c r="B858" s="248">
        <v>14531</v>
      </c>
      <c r="C858" t="s">
        <v>3846</v>
      </c>
      <c r="D858" t="s">
        <v>3817</v>
      </c>
      <c r="E858" s="249" t="s">
        <v>3050</v>
      </c>
      <c r="F858">
        <v>856</v>
      </c>
    </row>
    <row r="859" spans="1:6" x14ac:dyDescent="0.25">
      <c r="A859" t="s">
        <v>2530</v>
      </c>
      <c r="B859" s="248">
        <v>13349</v>
      </c>
      <c r="C859" t="s">
        <v>3847</v>
      </c>
      <c r="D859" t="s">
        <v>3817</v>
      </c>
      <c r="E859" s="249" t="s">
        <v>3050</v>
      </c>
      <c r="F859">
        <v>857</v>
      </c>
    </row>
    <row r="860" spans="1:6" x14ac:dyDescent="0.25">
      <c r="A860" t="s">
        <v>2531</v>
      </c>
      <c r="B860" s="248">
        <v>22943</v>
      </c>
      <c r="C860" t="s">
        <v>3848</v>
      </c>
      <c r="D860" t="s">
        <v>3817</v>
      </c>
      <c r="E860" s="249" t="s">
        <v>3050</v>
      </c>
      <c r="F860">
        <v>858</v>
      </c>
    </row>
    <row r="861" spans="1:6" x14ac:dyDescent="0.25">
      <c r="A861" t="s">
        <v>2556</v>
      </c>
      <c r="B861" s="248">
        <v>26882</v>
      </c>
      <c r="C861" t="s">
        <v>3849</v>
      </c>
      <c r="D861" t="s">
        <v>3817</v>
      </c>
      <c r="E861" s="249" t="s">
        <v>3050</v>
      </c>
      <c r="F861">
        <v>859</v>
      </c>
    </row>
    <row r="862" spans="1:6" x14ac:dyDescent="0.25">
      <c r="A862" t="s">
        <v>2560</v>
      </c>
      <c r="B862" s="248">
        <v>3054</v>
      </c>
      <c r="C862" t="s">
        <v>3850</v>
      </c>
      <c r="D862" t="s">
        <v>3817</v>
      </c>
      <c r="E862" s="249" t="s">
        <v>3050</v>
      </c>
      <c r="F862">
        <v>860</v>
      </c>
    </row>
    <row r="863" spans="1:6" x14ac:dyDescent="0.25">
      <c r="A863" t="s">
        <v>2571</v>
      </c>
      <c r="B863" s="248">
        <v>3054</v>
      </c>
      <c r="C863" t="s">
        <v>3851</v>
      </c>
      <c r="D863" t="s">
        <v>3817</v>
      </c>
      <c r="E863" s="249" t="s">
        <v>3050</v>
      </c>
      <c r="F863">
        <v>861</v>
      </c>
    </row>
    <row r="864" spans="1:6" x14ac:dyDescent="0.25">
      <c r="A864" t="s">
        <v>2561</v>
      </c>
      <c r="B864" s="248">
        <v>3054</v>
      </c>
      <c r="C864" t="s">
        <v>3852</v>
      </c>
      <c r="D864" t="s">
        <v>3817</v>
      </c>
      <c r="E864" s="249" t="s">
        <v>3050</v>
      </c>
      <c r="F864">
        <v>862</v>
      </c>
    </row>
    <row r="865" spans="1:6" x14ac:dyDescent="0.25">
      <c r="A865" t="s">
        <v>2562</v>
      </c>
      <c r="B865" s="248">
        <v>3152</v>
      </c>
      <c r="C865" t="s">
        <v>3853</v>
      </c>
      <c r="D865" t="s">
        <v>3817</v>
      </c>
      <c r="E865" s="249" t="s">
        <v>3050</v>
      </c>
      <c r="F865">
        <v>863</v>
      </c>
    </row>
    <row r="866" spans="1:6" x14ac:dyDescent="0.25">
      <c r="A866" t="s">
        <v>2572</v>
      </c>
      <c r="B866" s="248">
        <v>3770</v>
      </c>
      <c r="C866" t="s">
        <v>3854</v>
      </c>
      <c r="D866" t="s">
        <v>3817</v>
      </c>
      <c r="E866" s="249" t="s">
        <v>3050</v>
      </c>
      <c r="F866">
        <v>864</v>
      </c>
    </row>
    <row r="867" spans="1:6" x14ac:dyDescent="0.25">
      <c r="A867" t="s">
        <v>2563</v>
      </c>
      <c r="B867" s="248">
        <v>6109</v>
      </c>
      <c r="C867" t="s">
        <v>3855</v>
      </c>
      <c r="D867" t="s">
        <v>3817</v>
      </c>
      <c r="E867" s="249" t="s">
        <v>3050</v>
      </c>
      <c r="F867">
        <v>865</v>
      </c>
    </row>
    <row r="868" spans="1:6" x14ac:dyDescent="0.25">
      <c r="A868" t="s">
        <v>2573</v>
      </c>
      <c r="B868" s="248">
        <v>6109</v>
      </c>
      <c r="C868" t="s">
        <v>3856</v>
      </c>
      <c r="D868" t="s">
        <v>3817</v>
      </c>
      <c r="E868" s="249" t="s">
        <v>3050</v>
      </c>
      <c r="F868">
        <v>866</v>
      </c>
    </row>
    <row r="869" spans="1:6" x14ac:dyDescent="0.25">
      <c r="A869" t="s">
        <v>2564</v>
      </c>
      <c r="B869" s="248">
        <v>6549</v>
      </c>
      <c r="C869" t="s">
        <v>3857</v>
      </c>
      <c r="D869" t="s">
        <v>3817</v>
      </c>
      <c r="E869" s="249" t="s">
        <v>3050</v>
      </c>
      <c r="F869">
        <v>867</v>
      </c>
    </row>
    <row r="870" spans="1:6" x14ac:dyDescent="0.25">
      <c r="A870" t="s">
        <v>2565</v>
      </c>
      <c r="B870" s="248">
        <v>8608</v>
      </c>
      <c r="C870" t="s">
        <v>3858</v>
      </c>
      <c r="D870" t="s">
        <v>3817</v>
      </c>
      <c r="E870" s="249" t="s">
        <v>3050</v>
      </c>
      <c r="F870">
        <v>868</v>
      </c>
    </row>
    <row r="871" spans="1:6" x14ac:dyDescent="0.25">
      <c r="A871" t="s">
        <v>2574</v>
      </c>
      <c r="B871" s="248">
        <v>9764</v>
      </c>
      <c r="C871" t="s">
        <v>3859</v>
      </c>
      <c r="D871" t="s">
        <v>3817</v>
      </c>
      <c r="E871" s="249" t="s">
        <v>3050</v>
      </c>
      <c r="F871">
        <v>869</v>
      </c>
    </row>
    <row r="872" spans="1:6" x14ac:dyDescent="0.25">
      <c r="A872" t="s">
        <v>2566</v>
      </c>
      <c r="B872" s="248">
        <v>12148</v>
      </c>
      <c r="C872" t="s">
        <v>3860</v>
      </c>
      <c r="D872" t="s">
        <v>3817</v>
      </c>
      <c r="E872" s="249" t="s">
        <v>3050</v>
      </c>
      <c r="F872">
        <v>870</v>
      </c>
    </row>
    <row r="873" spans="1:6" x14ac:dyDescent="0.25">
      <c r="A873" t="s">
        <v>2567</v>
      </c>
      <c r="B873" s="248">
        <v>18378</v>
      </c>
      <c r="C873" t="s">
        <v>3861</v>
      </c>
      <c r="D873" t="s">
        <v>3817</v>
      </c>
      <c r="E873" s="249" t="s">
        <v>3050</v>
      </c>
      <c r="F873">
        <v>871</v>
      </c>
    </row>
    <row r="874" spans="1:6" x14ac:dyDescent="0.25">
      <c r="A874" t="s">
        <v>2576</v>
      </c>
      <c r="B874" s="248">
        <v>22903</v>
      </c>
      <c r="C874" t="s">
        <v>3862</v>
      </c>
      <c r="D874" t="s">
        <v>3817</v>
      </c>
      <c r="E874" s="249" t="s">
        <v>3050</v>
      </c>
      <c r="F874">
        <v>872</v>
      </c>
    </row>
    <row r="875" spans="1:6" x14ac:dyDescent="0.25">
      <c r="A875" t="s">
        <v>2568</v>
      </c>
      <c r="B875" s="248">
        <v>26842</v>
      </c>
      <c r="C875" t="s">
        <v>3863</v>
      </c>
      <c r="D875" t="s">
        <v>3817</v>
      </c>
      <c r="E875" s="249" t="s">
        <v>3050</v>
      </c>
      <c r="F875">
        <v>873</v>
      </c>
    </row>
    <row r="876" spans="1:6" x14ac:dyDescent="0.25">
      <c r="A876" t="s">
        <v>2489</v>
      </c>
      <c r="B876" s="248">
        <v>1813</v>
      </c>
      <c r="C876" t="s">
        <v>3864</v>
      </c>
      <c r="D876" t="s">
        <v>3817</v>
      </c>
      <c r="E876" s="249" t="s">
        <v>3050</v>
      </c>
      <c r="F876">
        <v>874</v>
      </c>
    </row>
    <row r="877" spans="1:6" x14ac:dyDescent="0.25">
      <c r="A877" t="s">
        <v>2491</v>
      </c>
      <c r="B877" s="248">
        <v>2717</v>
      </c>
      <c r="C877" t="s">
        <v>3865</v>
      </c>
      <c r="D877" t="s">
        <v>3817</v>
      </c>
      <c r="E877" s="249" t="s">
        <v>3050</v>
      </c>
      <c r="F877">
        <v>875</v>
      </c>
    </row>
    <row r="878" spans="1:6" x14ac:dyDescent="0.25">
      <c r="A878" t="s">
        <v>2502</v>
      </c>
      <c r="B878" s="248">
        <v>2932</v>
      </c>
      <c r="C878" t="s">
        <v>3866</v>
      </c>
      <c r="D878" t="s">
        <v>3817</v>
      </c>
      <c r="E878" s="249" t="s">
        <v>3050</v>
      </c>
      <c r="F878">
        <v>876</v>
      </c>
    </row>
    <row r="879" spans="1:6" x14ac:dyDescent="0.25">
      <c r="A879" t="s">
        <v>2492</v>
      </c>
      <c r="B879" s="248">
        <v>3785</v>
      </c>
      <c r="C879" t="s">
        <v>3867</v>
      </c>
      <c r="D879" t="s">
        <v>3817</v>
      </c>
      <c r="E879" s="249" t="s">
        <v>3050</v>
      </c>
      <c r="F879">
        <v>877</v>
      </c>
    </row>
    <row r="880" spans="1:6" x14ac:dyDescent="0.25">
      <c r="A880" t="s">
        <v>2503</v>
      </c>
      <c r="B880" s="248">
        <v>3910</v>
      </c>
      <c r="C880" t="s">
        <v>3868</v>
      </c>
      <c r="D880" t="s">
        <v>3817</v>
      </c>
      <c r="E880" s="249" t="s">
        <v>3050</v>
      </c>
      <c r="F880">
        <v>878</v>
      </c>
    </row>
    <row r="881" spans="1:6" x14ac:dyDescent="0.25">
      <c r="A881" t="s">
        <v>2493</v>
      </c>
      <c r="B881" s="248">
        <v>4825</v>
      </c>
      <c r="C881" t="s">
        <v>3869</v>
      </c>
      <c r="D881" t="s">
        <v>3817</v>
      </c>
      <c r="E881" s="249" t="s">
        <v>3050</v>
      </c>
      <c r="F881">
        <v>879</v>
      </c>
    </row>
    <row r="882" spans="1:6" x14ac:dyDescent="0.25">
      <c r="A882" t="s">
        <v>2504</v>
      </c>
      <c r="B882" s="248">
        <v>5051</v>
      </c>
      <c r="C882" t="s">
        <v>3870</v>
      </c>
      <c r="D882" t="s">
        <v>3817</v>
      </c>
      <c r="E882" s="249" t="s">
        <v>3050</v>
      </c>
      <c r="F882">
        <v>880</v>
      </c>
    </row>
    <row r="883" spans="1:6" x14ac:dyDescent="0.25">
      <c r="A883" t="s">
        <v>2494</v>
      </c>
      <c r="B883" s="248">
        <v>5196</v>
      </c>
      <c r="C883" t="s">
        <v>3871</v>
      </c>
      <c r="D883" t="s">
        <v>3817</v>
      </c>
      <c r="E883" s="249" t="s">
        <v>3050</v>
      </c>
      <c r="F883">
        <v>881</v>
      </c>
    </row>
    <row r="884" spans="1:6" x14ac:dyDescent="0.25">
      <c r="A884" t="s">
        <v>2495</v>
      </c>
      <c r="B884" s="248">
        <v>6325</v>
      </c>
      <c r="C884" t="s">
        <v>3872</v>
      </c>
      <c r="D884" t="s">
        <v>3817</v>
      </c>
      <c r="E884" s="249" t="s">
        <v>3050</v>
      </c>
      <c r="F884">
        <v>882</v>
      </c>
    </row>
    <row r="885" spans="1:6" x14ac:dyDescent="0.25">
      <c r="A885" t="s">
        <v>2506</v>
      </c>
      <c r="B885" s="248">
        <v>8599</v>
      </c>
      <c r="C885" t="s">
        <v>3873</v>
      </c>
      <c r="D885" t="s">
        <v>3817</v>
      </c>
      <c r="E885" s="249" t="s">
        <v>3050</v>
      </c>
      <c r="F885">
        <v>883</v>
      </c>
    </row>
    <row r="886" spans="1:6" x14ac:dyDescent="0.25">
      <c r="A886" t="s">
        <v>2496</v>
      </c>
      <c r="B886" s="248">
        <v>7953</v>
      </c>
      <c r="C886" t="s">
        <v>3874</v>
      </c>
      <c r="D886" t="s">
        <v>3817</v>
      </c>
      <c r="E886" s="249" t="s">
        <v>3050</v>
      </c>
      <c r="F886">
        <v>884</v>
      </c>
    </row>
    <row r="887" spans="1:6" x14ac:dyDescent="0.25">
      <c r="A887" t="s">
        <v>2497</v>
      </c>
      <c r="B887" s="248">
        <v>15755</v>
      </c>
      <c r="C887" t="s">
        <v>3875</v>
      </c>
      <c r="D887" t="s">
        <v>3817</v>
      </c>
      <c r="E887" s="249" t="s">
        <v>3050</v>
      </c>
      <c r="F887">
        <v>885</v>
      </c>
    </row>
    <row r="888" spans="1:6" x14ac:dyDescent="0.25">
      <c r="A888" t="s">
        <v>2931</v>
      </c>
      <c r="B888" s="248">
        <v>8303</v>
      </c>
      <c r="C888" t="s">
        <v>3876</v>
      </c>
      <c r="D888" t="s">
        <v>3204</v>
      </c>
      <c r="E888" s="249" t="s">
        <v>3050</v>
      </c>
      <c r="F888">
        <v>886</v>
      </c>
    </row>
    <row r="889" spans="1:6" x14ac:dyDescent="0.25">
      <c r="A889" t="s">
        <v>2963</v>
      </c>
      <c r="B889" s="248">
        <v>291.5</v>
      </c>
      <c r="C889" t="s">
        <v>3877</v>
      </c>
      <c r="D889" t="s">
        <v>3204</v>
      </c>
      <c r="E889" s="249" t="s">
        <v>3050</v>
      </c>
      <c r="F889">
        <v>887</v>
      </c>
    </row>
    <row r="890" spans="1:6" x14ac:dyDescent="0.25">
      <c r="A890" t="s">
        <v>2909</v>
      </c>
      <c r="B890" s="248">
        <v>914</v>
      </c>
      <c r="C890" t="s">
        <v>3878</v>
      </c>
      <c r="D890" t="s">
        <v>3204</v>
      </c>
      <c r="E890" s="249" t="s">
        <v>3050</v>
      </c>
      <c r="F890">
        <v>888</v>
      </c>
    </row>
    <row r="891" spans="1:6" x14ac:dyDescent="0.25">
      <c r="A891" t="s">
        <v>2914</v>
      </c>
      <c r="B891" s="248">
        <v>914</v>
      </c>
      <c r="C891" t="s">
        <v>3879</v>
      </c>
      <c r="D891" t="s">
        <v>3204</v>
      </c>
      <c r="E891" s="249" t="s">
        <v>3050</v>
      </c>
      <c r="F891">
        <v>889</v>
      </c>
    </row>
    <row r="892" spans="1:6" x14ac:dyDescent="0.25">
      <c r="A892" t="s">
        <v>2918</v>
      </c>
      <c r="B892" s="248">
        <v>1329</v>
      </c>
      <c r="C892" t="s">
        <v>3880</v>
      </c>
      <c r="D892" t="s">
        <v>3204</v>
      </c>
      <c r="E892" s="249" t="s">
        <v>3050</v>
      </c>
      <c r="F892">
        <v>890</v>
      </c>
    </row>
    <row r="893" spans="1:6" x14ac:dyDescent="0.25">
      <c r="A893" t="s">
        <v>2956</v>
      </c>
      <c r="B893" s="248">
        <v>1329</v>
      </c>
      <c r="C893" t="s">
        <v>3881</v>
      </c>
      <c r="D893" t="s">
        <v>3204</v>
      </c>
      <c r="E893" s="249" t="s">
        <v>3050</v>
      </c>
      <c r="F893">
        <v>891</v>
      </c>
    </row>
    <row r="894" spans="1:6" x14ac:dyDescent="0.25">
      <c r="A894" t="s">
        <v>2923</v>
      </c>
      <c r="B894" s="248">
        <v>2012</v>
      </c>
      <c r="C894" t="s">
        <v>3882</v>
      </c>
      <c r="D894" t="s">
        <v>3204</v>
      </c>
      <c r="E894" s="249" t="s">
        <v>3050</v>
      </c>
      <c r="F894">
        <v>892</v>
      </c>
    </row>
    <row r="895" spans="1:6" x14ac:dyDescent="0.25">
      <c r="A895" t="s">
        <v>2957</v>
      </c>
      <c r="B895" s="248">
        <v>2012</v>
      </c>
      <c r="C895" t="s">
        <v>3883</v>
      </c>
      <c r="D895" t="s">
        <v>3204</v>
      </c>
      <c r="E895" s="249" t="s">
        <v>3050</v>
      </c>
      <c r="F895">
        <v>893</v>
      </c>
    </row>
    <row r="896" spans="1:6" x14ac:dyDescent="0.25">
      <c r="A896" t="s">
        <v>2927</v>
      </c>
      <c r="B896" s="248">
        <v>3322</v>
      </c>
      <c r="C896" t="s">
        <v>3884</v>
      </c>
      <c r="D896" t="s">
        <v>3204</v>
      </c>
      <c r="E896" s="249" t="s">
        <v>3050</v>
      </c>
      <c r="F896">
        <v>894</v>
      </c>
    </row>
    <row r="897" spans="1:6" x14ac:dyDescent="0.25">
      <c r="A897" t="s">
        <v>2890</v>
      </c>
      <c r="B897" s="248">
        <v>416</v>
      </c>
      <c r="C897" t="s">
        <v>3885</v>
      </c>
      <c r="D897" t="s">
        <v>3204</v>
      </c>
      <c r="E897" s="249" t="s">
        <v>3050</v>
      </c>
      <c r="F897">
        <v>895</v>
      </c>
    </row>
    <row r="898" spans="1:6" x14ac:dyDescent="0.25">
      <c r="A898" t="s">
        <v>2895</v>
      </c>
      <c r="B898" s="248">
        <v>664.5</v>
      </c>
      <c r="C898" t="s">
        <v>3886</v>
      </c>
      <c r="D898" t="s">
        <v>3204</v>
      </c>
      <c r="E898" s="249" t="s">
        <v>3050</v>
      </c>
      <c r="F898">
        <v>896</v>
      </c>
    </row>
    <row r="899" spans="1:6" x14ac:dyDescent="0.25">
      <c r="A899" t="s">
        <v>2899</v>
      </c>
      <c r="B899" s="248">
        <v>664.5</v>
      </c>
      <c r="C899" t="s">
        <v>3887</v>
      </c>
      <c r="D899" t="s">
        <v>3204</v>
      </c>
      <c r="E899" s="249" t="s">
        <v>3050</v>
      </c>
      <c r="F899">
        <v>897</v>
      </c>
    </row>
    <row r="900" spans="1:6" x14ac:dyDescent="0.25">
      <c r="A900" t="s">
        <v>2904</v>
      </c>
      <c r="B900" s="248">
        <v>747.5</v>
      </c>
      <c r="C900" t="s">
        <v>3888</v>
      </c>
      <c r="D900" t="s">
        <v>3204</v>
      </c>
      <c r="E900" s="249" t="s">
        <v>3050</v>
      </c>
      <c r="F900">
        <v>898</v>
      </c>
    </row>
    <row r="901" spans="1:6" x14ac:dyDescent="0.25">
      <c r="A901" t="s">
        <v>2943</v>
      </c>
      <c r="B901" s="248">
        <v>914</v>
      </c>
      <c r="C901" t="s">
        <v>3889</v>
      </c>
      <c r="D901" t="s">
        <v>3204</v>
      </c>
      <c r="E901" s="249" t="s">
        <v>3050</v>
      </c>
      <c r="F901">
        <v>899</v>
      </c>
    </row>
    <row r="902" spans="1:6" x14ac:dyDescent="0.25">
      <c r="A902" t="s">
        <v>2946</v>
      </c>
      <c r="B902" s="248">
        <v>914</v>
      </c>
      <c r="C902" t="s">
        <v>3890</v>
      </c>
      <c r="D902" t="s">
        <v>3204</v>
      </c>
      <c r="E902" s="249" t="s">
        <v>3050</v>
      </c>
      <c r="F902">
        <v>900</v>
      </c>
    </row>
    <row r="903" spans="1:6" x14ac:dyDescent="0.25">
      <c r="A903" t="s">
        <v>2948</v>
      </c>
      <c r="B903" s="248">
        <v>4982</v>
      </c>
      <c r="C903" t="s">
        <v>3891</v>
      </c>
      <c r="D903" t="s">
        <v>3204</v>
      </c>
      <c r="E903" s="249" t="s">
        <v>3050</v>
      </c>
      <c r="F903">
        <v>901</v>
      </c>
    </row>
    <row r="904" spans="1:6" x14ac:dyDescent="0.25">
      <c r="A904" t="s">
        <v>2959</v>
      </c>
      <c r="B904" s="248">
        <v>1329</v>
      </c>
      <c r="C904" t="s">
        <v>3892</v>
      </c>
      <c r="D904" t="s">
        <v>3204</v>
      </c>
      <c r="E904" s="249" t="s">
        <v>3050</v>
      </c>
      <c r="F904">
        <v>902</v>
      </c>
    </row>
    <row r="905" spans="1:6" x14ac:dyDescent="0.25">
      <c r="A905" t="s">
        <v>2951</v>
      </c>
      <c r="B905" s="248">
        <v>2012</v>
      </c>
      <c r="C905" t="s">
        <v>3893</v>
      </c>
      <c r="D905" t="s">
        <v>3204</v>
      </c>
      <c r="E905" s="249" t="s">
        <v>3050</v>
      </c>
      <c r="F905">
        <v>903</v>
      </c>
    </row>
    <row r="906" spans="1:6" x14ac:dyDescent="0.25">
      <c r="A906" t="s">
        <v>2953</v>
      </c>
      <c r="B906" s="248">
        <v>3322</v>
      </c>
      <c r="C906" t="s">
        <v>3894</v>
      </c>
      <c r="D906" t="s">
        <v>3204</v>
      </c>
      <c r="E906" s="249" t="s">
        <v>3050</v>
      </c>
      <c r="F906">
        <v>904</v>
      </c>
    </row>
    <row r="907" spans="1:6" x14ac:dyDescent="0.25">
      <c r="A907" t="s">
        <v>2962</v>
      </c>
      <c r="B907" s="248">
        <v>3322</v>
      </c>
      <c r="C907" t="s">
        <v>3895</v>
      </c>
      <c r="D907" t="s">
        <v>3204</v>
      </c>
      <c r="E907" s="249" t="s">
        <v>3050</v>
      </c>
      <c r="F907">
        <v>905</v>
      </c>
    </row>
    <row r="908" spans="1:6" x14ac:dyDescent="0.25">
      <c r="A908" t="s">
        <v>2893</v>
      </c>
      <c r="B908" s="248">
        <v>209</v>
      </c>
      <c r="C908" t="s">
        <v>3896</v>
      </c>
      <c r="D908" t="s">
        <v>3204</v>
      </c>
      <c r="E908" s="249" t="s">
        <v>3050</v>
      </c>
      <c r="F908">
        <v>906</v>
      </c>
    </row>
    <row r="909" spans="1:6" x14ac:dyDescent="0.25">
      <c r="A909" t="s">
        <v>2898</v>
      </c>
      <c r="B909" s="248">
        <v>209</v>
      </c>
      <c r="C909" t="s">
        <v>3897</v>
      </c>
      <c r="D909" t="s">
        <v>3204</v>
      </c>
      <c r="E909" s="249" t="s">
        <v>3050</v>
      </c>
      <c r="F909">
        <v>907</v>
      </c>
    </row>
    <row r="910" spans="1:6" x14ac:dyDescent="0.25">
      <c r="A910" t="s">
        <v>2903</v>
      </c>
      <c r="B910" s="248">
        <v>209</v>
      </c>
      <c r="C910" t="s">
        <v>3898</v>
      </c>
      <c r="D910" t="s">
        <v>3204</v>
      </c>
      <c r="E910" s="249" t="s">
        <v>3050</v>
      </c>
      <c r="F910">
        <v>908</v>
      </c>
    </row>
    <row r="911" spans="1:6" x14ac:dyDescent="0.25">
      <c r="A911" t="s">
        <v>2905</v>
      </c>
      <c r="B911" s="248">
        <v>209</v>
      </c>
      <c r="C911" t="s">
        <v>3899</v>
      </c>
      <c r="D911" t="s">
        <v>3204</v>
      </c>
      <c r="E911" s="249" t="s">
        <v>3050</v>
      </c>
      <c r="F911">
        <v>909</v>
      </c>
    </row>
    <row r="912" spans="1:6" x14ac:dyDescent="0.25">
      <c r="A912" t="s">
        <v>2911</v>
      </c>
      <c r="B912" s="248">
        <v>250</v>
      </c>
      <c r="C912" t="s">
        <v>3900</v>
      </c>
      <c r="D912" t="s">
        <v>3204</v>
      </c>
      <c r="E912" s="249" t="s">
        <v>3050</v>
      </c>
      <c r="F912">
        <v>910</v>
      </c>
    </row>
    <row r="913" spans="1:6" x14ac:dyDescent="0.25">
      <c r="A913" t="s">
        <v>2915</v>
      </c>
      <c r="B913" s="248">
        <v>250</v>
      </c>
      <c r="C913" t="s">
        <v>3901</v>
      </c>
      <c r="D913" t="s">
        <v>3204</v>
      </c>
      <c r="E913" s="249" t="s">
        <v>3050</v>
      </c>
      <c r="F913">
        <v>911</v>
      </c>
    </row>
    <row r="914" spans="1:6" x14ac:dyDescent="0.25">
      <c r="A914" t="s">
        <v>2920</v>
      </c>
      <c r="B914" s="248">
        <v>250</v>
      </c>
      <c r="C914" t="s">
        <v>3902</v>
      </c>
      <c r="D914" t="s">
        <v>3204</v>
      </c>
      <c r="E914" s="249" t="s">
        <v>3050</v>
      </c>
      <c r="F914">
        <v>912</v>
      </c>
    </row>
    <row r="915" spans="1:6" x14ac:dyDescent="0.25">
      <c r="A915" t="s">
        <v>2926</v>
      </c>
      <c r="B915" s="248">
        <v>541</v>
      </c>
      <c r="C915" t="s">
        <v>3903</v>
      </c>
      <c r="D915" t="s">
        <v>3204</v>
      </c>
      <c r="E915" s="249" t="s">
        <v>3050</v>
      </c>
      <c r="F915">
        <v>913</v>
      </c>
    </row>
    <row r="916" spans="1:6" x14ac:dyDescent="0.25">
      <c r="A916" t="s">
        <v>2930</v>
      </c>
      <c r="B916" s="248">
        <v>541</v>
      </c>
      <c r="C916" t="s">
        <v>3904</v>
      </c>
      <c r="D916" t="s">
        <v>3204</v>
      </c>
      <c r="E916" s="249" t="s">
        <v>3050</v>
      </c>
      <c r="F916">
        <v>914</v>
      </c>
    </row>
    <row r="917" spans="1:6" x14ac:dyDescent="0.25">
      <c r="A917" t="s">
        <v>2934</v>
      </c>
      <c r="B917" s="248">
        <v>291.5</v>
      </c>
      <c r="C917" t="s">
        <v>3905</v>
      </c>
      <c r="D917" t="s">
        <v>3204</v>
      </c>
      <c r="E917" s="249" t="s">
        <v>3050</v>
      </c>
      <c r="F917">
        <v>915</v>
      </c>
    </row>
    <row r="918" spans="1:6" x14ac:dyDescent="0.25">
      <c r="A918" t="s">
        <v>2936</v>
      </c>
      <c r="B918" s="248">
        <v>83.25</v>
      </c>
      <c r="C918" t="s">
        <v>3906</v>
      </c>
      <c r="D918" t="s">
        <v>3204</v>
      </c>
      <c r="E918" s="249" t="s">
        <v>3050</v>
      </c>
      <c r="F918">
        <v>916</v>
      </c>
    </row>
    <row r="919" spans="1:6" x14ac:dyDescent="0.25">
      <c r="A919" t="s">
        <v>2938</v>
      </c>
      <c r="B919" s="248">
        <v>83.25</v>
      </c>
      <c r="C919" t="s">
        <v>3907</v>
      </c>
      <c r="D919" t="s">
        <v>3204</v>
      </c>
      <c r="E919" s="249" t="s">
        <v>3050</v>
      </c>
      <c r="F919">
        <v>917</v>
      </c>
    </row>
    <row r="920" spans="1:6" x14ac:dyDescent="0.25">
      <c r="A920" t="s">
        <v>2939</v>
      </c>
      <c r="B920" s="248">
        <v>83.25</v>
      </c>
      <c r="C920" t="s">
        <v>3908</v>
      </c>
      <c r="D920" t="s">
        <v>3204</v>
      </c>
      <c r="E920" s="249" t="s">
        <v>3050</v>
      </c>
      <c r="F920">
        <v>918</v>
      </c>
    </row>
    <row r="921" spans="1:6" x14ac:dyDescent="0.25">
      <c r="A921" t="s">
        <v>2941</v>
      </c>
      <c r="B921" s="248">
        <v>83.25</v>
      </c>
      <c r="C921" t="s">
        <v>3909</v>
      </c>
      <c r="D921" t="s">
        <v>3204</v>
      </c>
      <c r="E921" s="249" t="s">
        <v>3050</v>
      </c>
      <c r="F921">
        <v>919</v>
      </c>
    </row>
    <row r="922" spans="1:6" x14ac:dyDescent="0.25">
      <c r="A922" t="s">
        <v>2944</v>
      </c>
      <c r="B922" s="248">
        <v>83.25</v>
      </c>
      <c r="C922" t="s">
        <v>3910</v>
      </c>
      <c r="D922" t="s">
        <v>3204</v>
      </c>
      <c r="E922" s="249" t="s">
        <v>3050</v>
      </c>
      <c r="F922">
        <v>920</v>
      </c>
    </row>
    <row r="923" spans="1:6" x14ac:dyDescent="0.25">
      <c r="A923" t="s">
        <v>2947</v>
      </c>
      <c r="B923" s="248">
        <v>125</v>
      </c>
      <c r="C923" t="s">
        <v>3911</v>
      </c>
      <c r="D923" t="s">
        <v>3204</v>
      </c>
      <c r="E923" s="249" t="s">
        <v>3050</v>
      </c>
      <c r="F923">
        <v>921</v>
      </c>
    </row>
    <row r="924" spans="1:6" x14ac:dyDescent="0.25">
      <c r="A924" t="s">
        <v>2949</v>
      </c>
      <c r="B924" s="248">
        <v>125</v>
      </c>
      <c r="C924" t="s">
        <v>3912</v>
      </c>
      <c r="D924" t="s">
        <v>3204</v>
      </c>
      <c r="E924" s="249" t="s">
        <v>3050</v>
      </c>
      <c r="F924">
        <v>922</v>
      </c>
    </row>
    <row r="925" spans="1:6" x14ac:dyDescent="0.25">
      <c r="A925" t="s">
        <v>2952</v>
      </c>
      <c r="B925" s="248">
        <v>1107</v>
      </c>
      <c r="C925" t="s">
        <v>3913</v>
      </c>
      <c r="D925" t="s">
        <v>3204</v>
      </c>
      <c r="E925" s="249" t="s">
        <v>3050</v>
      </c>
      <c r="F925">
        <v>923</v>
      </c>
    </row>
    <row r="926" spans="1:6" x14ac:dyDescent="0.25">
      <c r="A926" t="s">
        <v>2994</v>
      </c>
      <c r="B926" s="248">
        <v>291.5</v>
      </c>
      <c r="C926" t="s">
        <v>3914</v>
      </c>
      <c r="D926" t="s">
        <v>3204</v>
      </c>
      <c r="E926" s="249" t="s">
        <v>3050</v>
      </c>
      <c r="F926">
        <v>924</v>
      </c>
    </row>
    <row r="927" spans="1:6" x14ac:dyDescent="0.25">
      <c r="A927" t="s">
        <v>2891</v>
      </c>
      <c r="B927" s="248">
        <v>83.25</v>
      </c>
      <c r="C927" t="s">
        <v>3915</v>
      </c>
      <c r="D927" t="s">
        <v>3204</v>
      </c>
      <c r="E927" s="249" t="s">
        <v>3050</v>
      </c>
      <c r="F927">
        <v>925</v>
      </c>
    </row>
    <row r="928" spans="1:6" x14ac:dyDescent="0.25">
      <c r="A928" t="s">
        <v>2896</v>
      </c>
      <c r="B928" s="248">
        <v>83.25</v>
      </c>
      <c r="C928" t="s">
        <v>3916</v>
      </c>
      <c r="D928" t="s">
        <v>3204</v>
      </c>
      <c r="E928" s="249" t="s">
        <v>3050</v>
      </c>
      <c r="F928">
        <v>926</v>
      </c>
    </row>
    <row r="929" spans="1:6" x14ac:dyDescent="0.25">
      <c r="A929" t="s">
        <v>2902</v>
      </c>
      <c r="B929" s="248">
        <v>83.25</v>
      </c>
      <c r="C929" t="s">
        <v>3917</v>
      </c>
      <c r="D929" t="s">
        <v>3204</v>
      </c>
      <c r="E929" s="249" t="s">
        <v>3050</v>
      </c>
      <c r="F929">
        <v>927</v>
      </c>
    </row>
    <row r="930" spans="1:6" x14ac:dyDescent="0.25">
      <c r="A930" t="s">
        <v>2906</v>
      </c>
      <c r="B930" s="248">
        <v>83.25</v>
      </c>
      <c r="C930" t="s">
        <v>3918</v>
      </c>
      <c r="D930" t="s">
        <v>3204</v>
      </c>
      <c r="E930" s="249" t="s">
        <v>3050</v>
      </c>
      <c r="F930">
        <v>928</v>
      </c>
    </row>
    <row r="931" spans="1:6" x14ac:dyDescent="0.25">
      <c r="A931" t="s">
        <v>2910</v>
      </c>
      <c r="B931" s="248">
        <v>83.25</v>
      </c>
      <c r="C931" t="s">
        <v>3919</v>
      </c>
      <c r="D931" t="s">
        <v>3204</v>
      </c>
      <c r="E931" s="249" t="s">
        <v>3050</v>
      </c>
      <c r="F931">
        <v>929</v>
      </c>
    </row>
    <row r="932" spans="1:6" x14ac:dyDescent="0.25">
      <c r="A932" t="s">
        <v>2916</v>
      </c>
      <c r="B932" s="248">
        <v>125</v>
      </c>
      <c r="C932" t="s">
        <v>3920</v>
      </c>
      <c r="D932" t="s">
        <v>3204</v>
      </c>
      <c r="E932" s="249" t="s">
        <v>3050</v>
      </c>
      <c r="F932">
        <v>930</v>
      </c>
    </row>
    <row r="933" spans="1:6" x14ac:dyDescent="0.25">
      <c r="A933" t="s">
        <v>2919</v>
      </c>
      <c r="B933" s="248">
        <v>125</v>
      </c>
      <c r="C933" t="s">
        <v>3921</v>
      </c>
      <c r="D933" t="s">
        <v>3204</v>
      </c>
      <c r="E933" s="249" t="s">
        <v>3050</v>
      </c>
      <c r="F933">
        <v>931</v>
      </c>
    </row>
    <row r="934" spans="1:6" x14ac:dyDescent="0.25">
      <c r="A934" t="s">
        <v>2925</v>
      </c>
      <c r="B934" s="248">
        <v>125</v>
      </c>
      <c r="C934" t="s">
        <v>3922</v>
      </c>
      <c r="D934" t="s">
        <v>3204</v>
      </c>
      <c r="E934" s="249" t="s">
        <v>3050</v>
      </c>
      <c r="F934">
        <v>932</v>
      </c>
    </row>
    <row r="935" spans="1:6" x14ac:dyDescent="0.25">
      <c r="A935" t="s">
        <v>2929</v>
      </c>
      <c r="B935" s="248">
        <v>291.5</v>
      </c>
      <c r="C935" t="s">
        <v>3923</v>
      </c>
      <c r="D935" t="s">
        <v>3204</v>
      </c>
      <c r="E935" s="249" t="s">
        <v>3050</v>
      </c>
      <c r="F935">
        <v>933</v>
      </c>
    </row>
    <row r="936" spans="1:6" x14ac:dyDescent="0.25">
      <c r="A936" t="s">
        <v>2932</v>
      </c>
      <c r="B936" s="248">
        <v>914</v>
      </c>
      <c r="C936" t="s">
        <v>5764</v>
      </c>
      <c r="D936" t="s">
        <v>3204</v>
      </c>
      <c r="E936" s="249" t="s">
        <v>3050</v>
      </c>
      <c r="F936">
        <v>934</v>
      </c>
    </row>
    <row r="937" spans="1:6" x14ac:dyDescent="0.25">
      <c r="A937" t="s">
        <v>2892</v>
      </c>
      <c r="B937" s="248">
        <v>250</v>
      </c>
      <c r="C937" t="s">
        <v>3924</v>
      </c>
      <c r="D937" t="s">
        <v>3204</v>
      </c>
      <c r="E937" s="249" t="s">
        <v>3050</v>
      </c>
      <c r="F937">
        <v>935</v>
      </c>
    </row>
    <row r="938" spans="1:6" x14ac:dyDescent="0.25">
      <c r="A938" t="s">
        <v>2897</v>
      </c>
      <c r="B938" s="248">
        <v>250</v>
      </c>
      <c r="C938" t="s">
        <v>3925</v>
      </c>
      <c r="D938" t="s">
        <v>3204</v>
      </c>
      <c r="E938" s="249" t="s">
        <v>3050</v>
      </c>
      <c r="F938">
        <v>936</v>
      </c>
    </row>
    <row r="939" spans="1:6" x14ac:dyDescent="0.25">
      <c r="A939" t="s">
        <v>2901</v>
      </c>
      <c r="B939" s="248">
        <v>250</v>
      </c>
      <c r="C939" t="s">
        <v>3926</v>
      </c>
      <c r="D939" t="s">
        <v>3204</v>
      </c>
      <c r="E939" s="249" t="s">
        <v>3050</v>
      </c>
      <c r="F939">
        <v>937</v>
      </c>
    </row>
    <row r="940" spans="1:6" x14ac:dyDescent="0.25">
      <c r="A940" t="s">
        <v>2908</v>
      </c>
      <c r="B940" s="248">
        <v>332.5</v>
      </c>
      <c r="C940" t="s">
        <v>3927</v>
      </c>
      <c r="D940" t="s">
        <v>3204</v>
      </c>
      <c r="E940" s="249" t="s">
        <v>3050</v>
      </c>
      <c r="F940">
        <v>938</v>
      </c>
    </row>
    <row r="941" spans="1:6" x14ac:dyDescent="0.25">
      <c r="A941" t="s">
        <v>2912</v>
      </c>
      <c r="B941" s="248">
        <v>332.5</v>
      </c>
      <c r="C941" t="s">
        <v>3928</v>
      </c>
      <c r="D941" t="s">
        <v>3204</v>
      </c>
      <c r="E941" s="249" t="s">
        <v>3050</v>
      </c>
      <c r="F941">
        <v>939</v>
      </c>
    </row>
    <row r="942" spans="1:6" x14ac:dyDescent="0.25">
      <c r="A942" t="s">
        <v>2917</v>
      </c>
      <c r="B942" s="248">
        <v>332.5</v>
      </c>
      <c r="C942" t="s">
        <v>3929</v>
      </c>
      <c r="D942" t="s">
        <v>3204</v>
      </c>
      <c r="E942" s="249" t="s">
        <v>3050</v>
      </c>
      <c r="F942">
        <v>940</v>
      </c>
    </row>
    <row r="943" spans="1:6" x14ac:dyDescent="0.25">
      <c r="A943" t="s">
        <v>2921</v>
      </c>
      <c r="B943" s="248">
        <v>498.5</v>
      </c>
      <c r="C943" t="s">
        <v>3930</v>
      </c>
      <c r="D943" t="s">
        <v>3204</v>
      </c>
      <c r="E943" s="249" t="s">
        <v>3050</v>
      </c>
      <c r="F943">
        <v>941</v>
      </c>
    </row>
    <row r="944" spans="1:6" x14ac:dyDescent="0.25">
      <c r="A944" t="s">
        <v>2924</v>
      </c>
      <c r="B944" s="248">
        <v>498.5</v>
      </c>
      <c r="C944" t="s">
        <v>3931</v>
      </c>
      <c r="D944" t="s">
        <v>3204</v>
      </c>
      <c r="E944" s="249" t="s">
        <v>3050</v>
      </c>
      <c r="F944">
        <v>942</v>
      </c>
    </row>
    <row r="945" spans="1:6" x14ac:dyDescent="0.25">
      <c r="A945" t="s">
        <v>2928</v>
      </c>
      <c r="B945" s="248">
        <v>914</v>
      </c>
      <c r="C945" t="s">
        <v>3932</v>
      </c>
      <c r="D945" t="s">
        <v>3204</v>
      </c>
      <c r="E945" s="249" t="s">
        <v>3050</v>
      </c>
      <c r="F945">
        <v>943</v>
      </c>
    </row>
    <row r="946" spans="1:6" x14ac:dyDescent="0.25">
      <c r="A946" t="s">
        <v>2894</v>
      </c>
      <c r="B946" s="248">
        <v>25.5</v>
      </c>
      <c r="C946" t="s">
        <v>3933</v>
      </c>
      <c r="D946" t="s">
        <v>3204</v>
      </c>
      <c r="E946" s="249" t="s">
        <v>3050</v>
      </c>
      <c r="F946">
        <v>944</v>
      </c>
    </row>
    <row r="947" spans="1:6" x14ac:dyDescent="0.25">
      <c r="A947" t="s">
        <v>2922</v>
      </c>
      <c r="B947" s="248">
        <v>20</v>
      </c>
      <c r="C947" t="s">
        <v>3934</v>
      </c>
      <c r="D947" t="s">
        <v>3204</v>
      </c>
      <c r="E947" s="249" t="s">
        <v>3050</v>
      </c>
      <c r="F947">
        <v>945</v>
      </c>
    </row>
    <row r="948" spans="1:6" x14ac:dyDescent="0.25">
      <c r="A948" t="s">
        <v>2937</v>
      </c>
      <c r="B948" s="248">
        <v>20</v>
      </c>
      <c r="C948" t="s">
        <v>3935</v>
      </c>
      <c r="D948" t="s">
        <v>3204</v>
      </c>
      <c r="E948" s="249" t="s">
        <v>3050</v>
      </c>
      <c r="F948">
        <v>946</v>
      </c>
    </row>
    <row r="949" spans="1:6" x14ac:dyDescent="0.25">
      <c r="A949" t="s">
        <v>2499</v>
      </c>
      <c r="B949" s="248">
        <v>24614</v>
      </c>
      <c r="C949" t="s">
        <v>3936</v>
      </c>
      <c r="D949" t="s">
        <v>3817</v>
      </c>
      <c r="E949" s="249" t="s">
        <v>3050</v>
      </c>
      <c r="F949">
        <v>947</v>
      </c>
    </row>
    <row r="950" spans="1:6" x14ac:dyDescent="0.25">
      <c r="A950" t="s">
        <v>2954</v>
      </c>
      <c r="B950" s="248">
        <v>8007</v>
      </c>
      <c r="C950" t="s">
        <v>3937</v>
      </c>
      <c r="D950" t="s">
        <v>3817</v>
      </c>
      <c r="E950" s="249" t="s">
        <v>3050</v>
      </c>
      <c r="F950">
        <v>948</v>
      </c>
    </row>
    <row r="951" spans="1:6" x14ac:dyDescent="0.25">
      <c r="A951" t="s">
        <v>1612</v>
      </c>
      <c r="B951" s="248">
        <v>1716</v>
      </c>
      <c r="C951" t="s">
        <v>3938</v>
      </c>
      <c r="D951" t="s">
        <v>3053</v>
      </c>
      <c r="E951" s="249" t="s">
        <v>3047</v>
      </c>
      <c r="F951">
        <v>949</v>
      </c>
    </row>
    <row r="952" spans="1:6" x14ac:dyDescent="0.25">
      <c r="A952" t="s">
        <v>1615</v>
      </c>
      <c r="B952" s="248">
        <v>3776</v>
      </c>
      <c r="C952" t="s">
        <v>3939</v>
      </c>
      <c r="D952" t="s">
        <v>3053</v>
      </c>
      <c r="E952" s="249" t="s">
        <v>3047</v>
      </c>
      <c r="F952">
        <v>950</v>
      </c>
    </row>
    <row r="953" spans="1:6" x14ac:dyDescent="0.25">
      <c r="A953" t="s">
        <v>1616</v>
      </c>
      <c r="B953" s="248">
        <v>5806</v>
      </c>
      <c r="C953" t="s">
        <v>3940</v>
      </c>
      <c r="D953" t="s">
        <v>3053</v>
      </c>
      <c r="E953" s="249" t="s">
        <v>3047</v>
      </c>
      <c r="F953">
        <v>951</v>
      </c>
    </row>
    <row r="954" spans="1:6" x14ac:dyDescent="0.25">
      <c r="A954" t="s">
        <v>1617</v>
      </c>
      <c r="B954" s="248">
        <v>9757</v>
      </c>
      <c r="C954" t="s">
        <v>3941</v>
      </c>
      <c r="D954" t="s">
        <v>3053</v>
      </c>
      <c r="E954" s="249" t="s">
        <v>3047</v>
      </c>
      <c r="F954">
        <v>952</v>
      </c>
    </row>
    <row r="955" spans="1:6" x14ac:dyDescent="0.25">
      <c r="A955" t="s">
        <v>1611</v>
      </c>
      <c r="B955" s="248">
        <v>1529</v>
      </c>
      <c r="C955" t="s">
        <v>3942</v>
      </c>
      <c r="D955" t="s">
        <v>3053</v>
      </c>
      <c r="E955" s="249" t="s">
        <v>3047</v>
      </c>
      <c r="F955">
        <v>953</v>
      </c>
    </row>
    <row r="956" spans="1:6" x14ac:dyDescent="0.25">
      <c r="A956" t="s">
        <v>1829</v>
      </c>
      <c r="B956" s="248">
        <v>1150</v>
      </c>
      <c r="C956" t="s">
        <v>3943</v>
      </c>
      <c r="D956" t="s">
        <v>3053</v>
      </c>
      <c r="E956" s="249" t="s">
        <v>3049</v>
      </c>
      <c r="F956">
        <v>954</v>
      </c>
    </row>
    <row r="957" spans="1:6" x14ac:dyDescent="0.25">
      <c r="A957" t="s">
        <v>1666</v>
      </c>
      <c r="B957" s="248">
        <v>2254</v>
      </c>
      <c r="C957" t="s">
        <v>3944</v>
      </c>
      <c r="D957" t="s">
        <v>3053</v>
      </c>
      <c r="E957" s="249" t="s">
        <v>3048</v>
      </c>
      <c r="F957">
        <v>955</v>
      </c>
    </row>
    <row r="958" spans="1:6" x14ac:dyDescent="0.25">
      <c r="A958" t="s">
        <v>1938</v>
      </c>
      <c r="B958" s="248">
        <v>14461</v>
      </c>
      <c r="C958" t="s">
        <v>3945</v>
      </c>
      <c r="D958" t="s">
        <v>3053</v>
      </c>
      <c r="E958" s="249" t="s">
        <v>3001</v>
      </c>
      <c r="F958">
        <v>956</v>
      </c>
    </row>
    <row r="959" spans="1:6" x14ac:dyDescent="0.25">
      <c r="A959" t="s">
        <v>1077</v>
      </c>
      <c r="B959" s="248">
        <v>254.5</v>
      </c>
      <c r="C959" t="s">
        <v>3946</v>
      </c>
      <c r="D959" t="s">
        <v>3053</v>
      </c>
      <c r="E959" s="249" t="s">
        <v>3046</v>
      </c>
      <c r="F959">
        <v>957</v>
      </c>
    </row>
    <row r="960" spans="1:6" x14ac:dyDescent="0.25">
      <c r="A960" t="s">
        <v>296</v>
      </c>
      <c r="B960" s="248">
        <v>124.5</v>
      </c>
      <c r="C960" t="s">
        <v>3947</v>
      </c>
      <c r="D960" t="s">
        <v>3204</v>
      </c>
      <c r="E960" s="249" t="s">
        <v>3043</v>
      </c>
      <c r="F960">
        <v>958</v>
      </c>
    </row>
    <row r="961" spans="1:6" x14ac:dyDescent="0.25">
      <c r="A961" t="s">
        <v>296</v>
      </c>
      <c r="B961" s="248">
        <v>124.5</v>
      </c>
      <c r="C961" t="s">
        <v>5030</v>
      </c>
      <c r="D961" t="s">
        <v>3204</v>
      </c>
      <c r="E961" s="249" t="s">
        <v>3045</v>
      </c>
      <c r="F961">
        <v>959</v>
      </c>
    </row>
    <row r="962" spans="1:6" x14ac:dyDescent="0.25">
      <c r="A962" t="s">
        <v>537</v>
      </c>
      <c r="B962" s="248">
        <v>59.25</v>
      </c>
      <c r="C962" t="s">
        <v>3948</v>
      </c>
      <c r="D962" t="s">
        <v>3204</v>
      </c>
      <c r="E962" s="249" t="s">
        <v>3044</v>
      </c>
      <c r="F962">
        <v>960</v>
      </c>
    </row>
    <row r="963" spans="1:6" x14ac:dyDescent="0.25">
      <c r="A963" t="s">
        <v>563</v>
      </c>
      <c r="B963" s="248">
        <v>73.5</v>
      </c>
      <c r="C963" t="s">
        <v>3949</v>
      </c>
      <c r="D963" t="s">
        <v>3204</v>
      </c>
      <c r="E963" s="249" t="s">
        <v>3044</v>
      </c>
      <c r="F963">
        <v>961</v>
      </c>
    </row>
    <row r="964" spans="1:6" x14ac:dyDescent="0.25">
      <c r="A964" t="s">
        <v>566</v>
      </c>
      <c r="B964" s="248">
        <v>88.5</v>
      </c>
      <c r="C964" t="s">
        <v>3950</v>
      </c>
      <c r="D964" t="s">
        <v>3204</v>
      </c>
      <c r="E964" s="249" t="s">
        <v>3044</v>
      </c>
      <c r="F964">
        <v>962</v>
      </c>
    </row>
    <row r="965" spans="1:6" x14ac:dyDescent="0.25">
      <c r="A965" t="s">
        <v>160</v>
      </c>
      <c r="B965" s="248">
        <v>73.5</v>
      </c>
      <c r="C965" t="s">
        <v>3951</v>
      </c>
      <c r="D965" t="s">
        <v>3204</v>
      </c>
      <c r="E965" s="249" t="s">
        <v>3043</v>
      </c>
      <c r="F965">
        <v>963</v>
      </c>
    </row>
    <row r="966" spans="1:6" x14ac:dyDescent="0.25">
      <c r="A966" t="s">
        <v>161</v>
      </c>
      <c r="B966" s="248">
        <v>80.5</v>
      </c>
      <c r="C966" t="s">
        <v>3952</v>
      </c>
      <c r="D966" t="s">
        <v>3204</v>
      </c>
      <c r="E966" s="249" t="s">
        <v>3043</v>
      </c>
      <c r="F966">
        <v>964</v>
      </c>
    </row>
    <row r="967" spans="1:6" x14ac:dyDescent="0.25">
      <c r="A967" t="s">
        <v>162</v>
      </c>
      <c r="B967" s="248">
        <v>88.5</v>
      </c>
      <c r="C967" t="s">
        <v>3953</v>
      </c>
      <c r="D967" t="s">
        <v>3204</v>
      </c>
      <c r="E967" s="249" t="s">
        <v>3043</v>
      </c>
      <c r="F967">
        <v>965</v>
      </c>
    </row>
    <row r="968" spans="1:6" x14ac:dyDescent="0.25">
      <c r="A968" t="s">
        <v>163</v>
      </c>
      <c r="B968" s="248">
        <v>88.5</v>
      </c>
      <c r="C968" t="s">
        <v>3954</v>
      </c>
      <c r="D968" t="s">
        <v>3204</v>
      </c>
      <c r="E968" s="249" t="s">
        <v>3043</v>
      </c>
      <c r="F968">
        <v>966</v>
      </c>
    </row>
    <row r="969" spans="1:6" x14ac:dyDescent="0.25">
      <c r="A969" t="s">
        <v>127</v>
      </c>
      <c r="B969" s="248">
        <v>73.5</v>
      </c>
      <c r="C969" t="s">
        <v>3955</v>
      </c>
      <c r="D969" t="s">
        <v>3204</v>
      </c>
      <c r="E969" s="249" t="s">
        <v>3043</v>
      </c>
      <c r="F969">
        <v>967</v>
      </c>
    </row>
    <row r="970" spans="1:6" x14ac:dyDescent="0.25">
      <c r="A970" t="s">
        <v>300</v>
      </c>
      <c r="B970" s="248">
        <v>296.5</v>
      </c>
      <c r="C970" t="s">
        <v>3956</v>
      </c>
      <c r="D970" t="s">
        <v>3204</v>
      </c>
      <c r="E970" s="249" t="s">
        <v>3043</v>
      </c>
      <c r="F970">
        <v>968</v>
      </c>
    </row>
    <row r="971" spans="1:6" x14ac:dyDescent="0.25">
      <c r="A971" t="s">
        <v>300</v>
      </c>
      <c r="B971" s="248">
        <v>296.5</v>
      </c>
      <c r="C971" t="s">
        <v>5033</v>
      </c>
      <c r="D971" t="s">
        <v>3204</v>
      </c>
      <c r="E971" s="249" t="s">
        <v>3045</v>
      </c>
      <c r="F971">
        <v>969</v>
      </c>
    </row>
    <row r="972" spans="1:6" x14ac:dyDescent="0.25">
      <c r="A972" t="s">
        <v>56</v>
      </c>
      <c r="B972" s="248">
        <v>38</v>
      </c>
      <c r="C972" t="s">
        <v>3957</v>
      </c>
      <c r="D972" t="s">
        <v>3053</v>
      </c>
      <c r="E972" s="249" t="s">
        <v>3043</v>
      </c>
      <c r="F972">
        <v>970</v>
      </c>
    </row>
    <row r="973" spans="1:6" x14ac:dyDescent="0.25">
      <c r="A973" t="s">
        <v>784</v>
      </c>
      <c r="B973" s="248">
        <v>57.5</v>
      </c>
      <c r="C973" t="s">
        <v>3958</v>
      </c>
      <c r="D973" t="s">
        <v>3204</v>
      </c>
      <c r="E973" s="249" t="s">
        <v>3045</v>
      </c>
      <c r="F973">
        <v>971</v>
      </c>
    </row>
    <row r="974" spans="1:6" x14ac:dyDescent="0.25">
      <c r="A974" t="s">
        <v>59</v>
      </c>
      <c r="B974" s="248">
        <v>38</v>
      </c>
      <c r="C974" t="s">
        <v>3959</v>
      </c>
      <c r="D974" t="s">
        <v>3053</v>
      </c>
      <c r="E974" s="249" t="s">
        <v>3043</v>
      </c>
      <c r="F974">
        <v>972</v>
      </c>
    </row>
    <row r="975" spans="1:6" x14ac:dyDescent="0.25">
      <c r="A975" t="s">
        <v>61</v>
      </c>
      <c r="B975" s="248">
        <v>38</v>
      </c>
      <c r="C975" t="s">
        <v>3960</v>
      </c>
      <c r="D975" t="s">
        <v>3053</v>
      </c>
      <c r="E975" s="249" t="s">
        <v>3043</v>
      </c>
      <c r="F975">
        <v>973</v>
      </c>
    </row>
    <row r="976" spans="1:6" x14ac:dyDescent="0.25">
      <c r="A976" t="s">
        <v>62</v>
      </c>
      <c r="B976" s="248">
        <v>38</v>
      </c>
      <c r="C976" t="s">
        <v>3961</v>
      </c>
      <c r="D976" t="s">
        <v>3053</v>
      </c>
      <c r="E976" s="249" t="s">
        <v>3043</v>
      </c>
      <c r="F976">
        <v>974</v>
      </c>
    </row>
    <row r="977" spans="1:6" x14ac:dyDescent="0.25">
      <c r="A977" t="s">
        <v>2817</v>
      </c>
      <c r="B977" s="248">
        <v>57.5</v>
      </c>
      <c r="C977" t="s">
        <v>3962</v>
      </c>
      <c r="D977" t="s">
        <v>3204</v>
      </c>
      <c r="E977" s="249" t="s">
        <v>3043</v>
      </c>
      <c r="F977">
        <v>975</v>
      </c>
    </row>
    <row r="978" spans="1:6" x14ac:dyDescent="0.25">
      <c r="A978" t="s">
        <v>547</v>
      </c>
      <c r="B978" s="248">
        <v>63.5</v>
      </c>
      <c r="C978" t="s">
        <v>3963</v>
      </c>
      <c r="D978" t="s">
        <v>3204</v>
      </c>
      <c r="E978" s="249" t="s">
        <v>3044</v>
      </c>
      <c r="F978">
        <v>976</v>
      </c>
    </row>
    <row r="979" spans="1:6" x14ac:dyDescent="0.25">
      <c r="A979" t="s">
        <v>555</v>
      </c>
      <c r="B979" s="248">
        <v>57.5</v>
      </c>
      <c r="C979" t="s">
        <v>3964</v>
      </c>
      <c r="D979" t="s">
        <v>3204</v>
      </c>
      <c r="E979" s="249" t="s">
        <v>3044</v>
      </c>
      <c r="F979">
        <v>977</v>
      </c>
    </row>
    <row r="980" spans="1:6" x14ac:dyDescent="0.25">
      <c r="A980" t="s">
        <v>660</v>
      </c>
      <c r="B980" s="248">
        <v>138</v>
      </c>
      <c r="C980" t="s">
        <v>3965</v>
      </c>
      <c r="D980" t="s">
        <v>3053</v>
      </c>
      <c r="E980" s="249" t="s">
        <v>3045</v>
      </c>
      <c r="F980">
        <v>978</v>
      </c>
    </row>
    <row r="981" spans="1:6" x14ac:dyDescent="0.25">
      <c r="A981" t="s">
        <v>661</v>
      </c>
      <c r="B981" s="248">
        <v>138</v>
      </c>
      <c r="C981" t="s">
        <v>3966</v>
      </c>
      <c r="D981" t="s">
        <v>3053</v>
      </c>
      <c r="E981" s="249" t="s">
        <v>3045</v>
      </c>
      <c r="F981">
        <v>979</v>
      </c>
    </row>
    <row r="982" spans="1:6" x14ac:dyDescent="0.25">
      <c r="A982" t="s">
        <v>1056</v>
      </c>
      <c r="B982" s="248">
        <v>299</v>
      </c>
      <c r="C982" t="s">
        <v>3967</v>
      </c>
      <c r="D982" t="s">
        <v>3053</v>
      </c>
      <c r="E982" s="249" t="s">
        <v>3046</v>
      </c>
      <c r="F982">
        <v>980</v>
      </c>
    </row>
    <row r="983" spans="1:6" x14ac:dyDescent="0.25">
      <c r="A983" t="s">
        <v>1057</v>
      </c>
      <c r="B983" s="248">
        <v>299</v>
      </c>
      <c r="C983" t="s">
        <v>3968</v>
      </c>
      <c r="D983" t="s">
        <v>3053</v>
      </c>
      <c r="E983" s="249" t="s">
        <v>3046</v>
      </c>
      <c r="F983">
        <v>981</v>
      </c>
    </row>
    <row r="984" spans="1:6" x14ac:dyDescent="0.25">
      <c r="A984" t="s">
        <v>725</v>
      </c>
      <c r="B984" s="248">
        <v>138</v>
      </c>
      <c r="C984" t="s">
        <v>3969</v>
      </c>
      <c r="D984" t="s">
        <v>3053</v>
      </c>
      <c r="E984" s="249" t="s">
        <v>3045</v>
      </c>
      <c r="F984">
        <v>982</v>
      </c>
    </row>
    <row r="985" spans="1:6" x14ac:dyDescent="0.25">
      <c r="A985" t="s">
        <v>726</v>
      </c>
      <c r="B985" s="248">
        <v>138</v>
      </c>
      <c r="C985" t="s">
        <v>3970</v>
      </c>
      <c r="D985" t="s">
        <v>3053</v>
      </c>
      <c r="E985" s="249" t="s">
        <v>3045</v>
      </c>
      <c r="F985">
        <v>983</v>
      </c>
    </row>
    <row r="986" spans="1:6" x14ac:dyDescent="0.25">
      <c r="A986" t="s">
        <v>1095</v>
      </c>
      <c r="B986" s="248">
        <v>299</v>
      </c>
      <c r="C986" t="s">
        <v>3971</v>
      </c>
      <c r="D986" t="s">
        <v>3053</v>
      </c>
      <c r="E986" s="249" t="s">
        <v>3046</v>
      </c>
      <c r="F986">
        <v>984</v>
      </c>
    </row>
    <row r="987" spans="1:6" x14ac:dyDescent="0.25">
      <c r="A987" t="s">
        <v>1096</v>
      </c>
      <c r="B987" s="248">
        <v>299</v>
      </c>
      <c r="C987" t="s">
        <v>3972</v>
      </c>
      <c r="D987" t="s">
        <v>3053</v>
      </c>
      <c r="E987" s="249" t="s">
        <v>3046</v>
      </c>
      <c r="F987">
        <v>985</v>
      </c>
    </row>
    <row r="988" spans="1:6" x14ac:dyDescent="0.25">
      <c r="A988" t="s">
        <v>64</v>
      </c>
      <c r="B988" s="248">
        <v>44.25</v>
      </c>
      <c r="C988" t="s">
        <v>3973</v>
      </c>
      <c r="D988" t="s">
        <v>3053</v>
      </c>
      <c r="E988" s="249" t="s">
        <v>3043</v>
      </c>
      <c r="F988">
        <v>986</v>
      </c>
    </row>
    <row r="989" spans="1:6" x14ac:dyDescent="0.25">
      <c r="A989" t="s">
        <v>65</v>
      </c>
      <c r="B989" s="248">
        <v>44.25</v>
      </c>
      <c r="C989" t="s">
        <v>3974</v>
      </c>
      <c r="D989" t="s">
        <v>3053</v>
      </c>
      <c r="E989" s="249" t="s">
        <v>3043</v>
      </c>
      <c r="F989">
        <v>987</v>
      </c>
    </row>
    <row r="990" spans="1:6" x14ac:dyDescent="0.25">
      <c r="A990" t="s">
        <v>2818</v>
      </c>
      <c r="B990" s="248">
        <v>63.5</v>
      </c>
      <c r="C990" t="s">
        <v>3975</v>
      </c>
      <c r="D990" t="s">
        <v>3204</v>
      </c>
      <c r="E990" s="249" t="s">
        <v>3043</v>
      </c>
      <c r="F990">
        <v>988</v>
      </c>
    </row>
    <row r="991" spans="1:6" x14ac:dyDescent="0.25">
      <c r="A991" t="s">
        <v>548</v>
      </c>
      <c r="B991" s="248">
        <v>63.5</v>
      </c>
      <c r="C991" t="s">
        <v>3976</v>
      </c>
      <c r="D991" t="s">
        <v>3204</v>
      </c>
      <c r="E991" s="249" t="s">
        <v>3044</v>
      </c>
      <c r="F991">
        <v>989</v>
      </c>
    </row>
    <row r="992" spans="1:6" x14ac:dyDescent="0.25">
      <c r="A992" t="s">
        <v>703</v>
      </c>
      <c r="B992" s="248">
        <v>80.5</v>
      </c>
      <c r="C992" t="s">
        <v>3977</v>
      </c>
      <c r="D992" t="s">
        <v>3204</v>
      </c>
      <c r="E992" s="249" t="s">
        <v>3045</v>
      </c>
      <c r="F992">
        <v>990</v>
      </c>
    </row>
    <row r="993" spans="1:6" x14ac:dyDescent="0.25">
      <c r="A993" t="s">
        <v>663</v>
      </c>
      <c r="B993" s="248">
        <v>161</v>
      </c>
      <c r="C993" t="s">
        <v>3978</v>
      </c>
      <c r="D993" t="s">
        <v>3053</v>
      </c>
      <c r="E993" s="249" t="s">
        <v>3045</v>
      </c>
      <c r="F993">
        <v>991</v>
      </c>
    </row>
    <row r="994" spans="1:6" x14ac:dyDescent="0.25">
      <c r="A994" t="s">
        <v>664</v>
      </c>
      <c r="B994" s="248">
        <v>161</v>
      </c>
      <c r="C994" t="s">
        <v>3979</v>
      </c>
      <c r="D994" t="s">
        <v>3053</v>
      </c>
      <c r="E994" s="249" t="s">
        <v>3045</v>
      </c>
      <c r="F994">
        <v>992</v>
      </c>
    </row>
    <row r="995" spans="1:6" x14ac:dyDescent="0.25">
      <c r="A995" t="s">
        <v>1059</v>
      </c>
      <c r="B995" s="248">
        <v>365.5</v>
      </c>
      <c r="C995" t="s">
        <v>3980</v>
      </c>
      <c r="D995" t="s">
        <v>3053</v>
      </c>
      <c r="E995" s="249" t="s">
        <v>3046</v>
      </c>
      <c r="F995">
        <v>993</v>
      </c>
    </row>
    <row r="996" spans="1:6" x14ac:dyDescent="0.25">
      <c r="A996" t="s">
        <v>1060</v>
      </c>
      <c r="B996" s="248">
        <v>365.5</v>
      </c>
      <c r="C996" t="s">
        <v>3981</v>
      </c>
      <c r="D996" t="s">
        <v>3053</v>
      </c>
      <c r="E996" s="249" t="s">
        <v>3046</v>
      </c>
      <c r="F996">
        <v>994</v>
      </c>
    </row>
    <row r="997" spans="1:6" x14ac:dyDescent="0.25">
      <c r="A997" t="s">
        <v>729</v>
      </c>
      <c r="B997" s="248">
        <v>161</v>
      </c>
      <c r="C997" t="s">
        <v>3982</v>
      </c>
      <c r="D997" t="s">
        <v>3053</v>
      </c>
      <c r="E997" s="249" t="s">
        <v>3045</v>
      </c>
      <c r="F997">
        <v>995</v>
      </c>
    </row>
    <row r="998" spans="1:6" x14ac:dyDescent="0.25">
      <c r="A998" t="s">
        <v>67</v>
      </c>
      <c r="B998" s="248">
        <v>57.25</v>
      </c>
      <c r="C998" t="s">
        <v>3983</v>
      </c>
      <c r="D998" t="s">
        <v>3053</v>
      </c>
      <c r="E998" s="249" t="s">
        <v>3043</v>
      </c>
      <c r="F998">
        <v>996</v>
      </c>
    </row>
    <row r="999" spans="1:6" x14ac:dyDescent="0.25">
      <c r="A999" t="s">
        <v>68</v>
      </c>
      <c r="B999" s="248">
        <v>57.25</v>
      </c>
      <c r="C999" t="s">
        <v>3984</v>
      </c>
      <c r="D999" t="s">
        <v>3053</v>
      </c>
      <c r="E999" s="249" t="s">
        <v>3043</v>
      </c>
      <c r="F999">
        <v>997</v>
      </c>
    </row>
    <row r="1000" spans="1:6" x14ac:dyDescent="0.25">
      <c r="A1000" t="s">
        <v>1279</v>
      </c>
      <c r="B1000" s="248">
        <v>426</v>
      </c>
      <c r="C1000" t="s">
        <v>3985</v>
      </c>
      <c r="D1000" t="s">
        <v>3053</v>
      </c>
      <c r="E1000" s="249" t="s">
        <v>3047</v>
      </c>
      <c r="F1000">
        <v>998</v>
      </c>
    </row>
    <row r="1001" spans="1:6" x14ac:dyDescent="0.25">
      <c r="A1001" t="s">
        <v>2811</v>
      </c>
      <c r="B1001" s="248">
        <v>73.5</v>
      </c>
      <c r="C1001" t="s">
        <v>3986</v>
      </c>
      <c r="D1001" t="s">
        <v>3204</v>
      </c>
      <c r="E1001" s="249" t="s">
        <v>3043</v>
      </c>
      <c r="F1001">
        <v>999</v>
      </c>
    </row>
    <row r="1002" spans="1:6" x14ac:dyDescent="0.25">
      <c r="A1002" t="s">
        <v>2854</v>
      </c>
      <c r="B1002" s="248">
        <v>83.25</v>
      </c>
      <c r="C1002" t="s">
        <v>3987</v>
      </c>
      <c r="D1002" t="s">
        <v>3204</v>
      </c>
      <c r="E1002" s="249" t="s">
        <v>3045</v>
      </c>
      <c r="F1002">
        <v>1000</v>
      </c>
    </row>
    <row r="1003" spans="1:6" x14ac:dyDescent="0.25">
      <c r="A1003" t="s">
        <v>541</v>
      </c>
      <c r="B1003" s="248">
        <v>73.5</v>
      </c>
      <c r="C1003" t="s">
        <v>3988</v>
      </c>
      <c r="D1003" t="s">
        <v>3204</v>
      </c>
      <c r="E1003" s="249" t="s">
        <v>3044</v>
      </c>
      <c r="F1003">
        <v>1001</v>
      </c>
    </row>
    <row r="1004" spans="1:6" x14ac:dyDescent="0.25">
      <c r="A1004" t="s">
        <v>698</v>
      </c>
      <c r="B1004" s="248">
        <v>80.5</v>
      </c>
      <c r="C1004" t="s">
        <v>3989</v>
      </c>
      <c r="D1004" t="s">
        <v>3204</v>
      </c>
      <c r="E1004" s="249" t="s">
        <v>3045</v>
      </c>
      <c r="F1004">
        <v>1002</v>
      </c>
    </row>
    <row r="1005" spans="1:6" x14ac:dyDescent="0.25">
      <c r="A1005" t="s">
        <v>787</v>
      </c>
      <c r="B1005" s="248">
        <v>80.5</v>
      </c>
      <c r="C1005" t="s">
        <v>3990</v>
      </c>
      <c r="D1005" t="s">
        <v>3204</v>
      </c>
      <c r="E1005" s="249" t="s">
        <v>3045</v>
      </c>
      <c r="F1005">
        <v>1003</v>
      </c>
    </row>
    <row r="1006" spans="1:6" x14ac:dyDescent="0.25">
      <c r="A1006" t="s">
        <v>138</v>
      </c>
      <c r="B1006" s="248">
        <v>73.5</v>
      </c>
      <c r="C1006" t="s">
        <v>3991</v>
      </c>
      <c r="D1006" t="s">
        <v>3204</v>
      </c>
      <c r="E1006" s="249" t="s">
        <v>3043</v>
      </c>
      <c r="F1006">
        <v>1004</v>
      </c>
    </row>
    <row r="1007" spans="1:6" x14ac:dyDescent="0.25">
      <c r="A1007" t="s">
        <v>549</v>
      </c>
      <c r="B1007" s="248">
        <v>73.5</v>
      </c>
      <c r="C1007" t="s">
        <v>3992</v>
      </c>
      <c r="D1007" t="s">
        <v>3204</v>
      </c>
      <c r="E1007" s="249" t="s">
        <v>3044</v>
      </c>
      <c r="F1007">
        <v>1005</v>
      </c>
    </row>
    <row r="1008" spans="1:6" x14ac:dyDescent="0.25">
      <c r="A1008" t="s">
        <v>704</v>
      </c>
      <c r="B1008" s="248">
        <v>80.5</v>
      </c>
      <c r="C1008" t="s">
        <v>3993</v>
      </c>
      <c r="D1008" t="s">
        <v>3204</v>
      </c>
      <c r="E1008" s="249" t="s">
        <v>3045</v>
      </c>
      <c r="F1008">
        <v>1006</v>
      </c>
    </row>
    <row r="1009" spans="1:6" x14ac:dyDescent="0.25">
      <c r="A1009" t="s">
        <v>149</v>
      </c>
      <c r="B1009" s="248">
        <v>73.5</v>
      </c>
      <c r="C1009" t="s">
        <v>3994</v>
      </c>
      <c r="D1009" t="s">
        <v>3204</v>
      </c>
      <c r="E1009" s="249" t="s">
        <v>3043</v>
      </c>
      <c r="F1009">
        <v>1007</v>
      </c>
    </row>
    <row r="1010" spans="1:6" x14ac:dyDescent="0.25">
      <c r="A1010" t="s">
        <v>715</v>
      </c>
      <c r="B1010" s="248">
        <v>80.5</v>
      </c>
      <c r="C1010" t="s">
        <v>3995</v>
      </c>
      <c r="D1010" t="s">
        <v>3204</v>
      </c>
      <c r="E1010" s="249" t="s">
        <v>3045</v>
      </c>
      <c r="F1010">
        <v>1008</v>
      </c>
    </row>
    <row r="1011" spans="1:6" x14ac:dyDescent="0.25">
      <c r="A1011" t="s">
        <v>804</v>
      </c>
      <c r="B1011" s="248">
        <v>80.5</v>
      </c>
      <c r="C1011" t="s">
        <v>3996</v>
      </c>
      <c r="D1011" t="s">
        <v>3204</v>
      </c>
      <c r="E1011" s="249" t="s">
        <v>3045</v>
      </c>
      <c r="F1011">
        <v>1009</v>
      </c>
    </row>
    <row r="1012" spans="1:6" x14ac:dyDescent="0.25">
      <c r="A1012" t="s">
        <v>1328</v>
      </c>
      <c r="B1012" s="248">
        <v>498.5</v>
      </c>
      <c r="C1012" t="s">
        <v>3997</v>
      </c>
      <c r="D1012" t="s">
        <v>3204</v>
      </c>
      <c r="E1012" s="249" t="s">
        <v>3048</v>
      </c>
      <c r="F1012">
        <v>1010</v>
      </c>
    </row>
    <row r="1013" spans="1:6" x14ac:dyDescent="0.25">
      <c r="A1013" t="s">
        <v>1348</v>
      </c>
      <c r="B1013" s="248">
        <v>498.5</v>
      </c>
      <c r="C1013" t="s">
        <v>3998</v>
      </c>
      <c r="D1013" t="s">
        <v>3204</v>
      </c>
      <c r="E1013" s="249" t="s">
        <v>3048</v>
      </c>
      <c r="F1013">
        <v>1011</v>
      </c>
    </row>
    <row r="1014" spans="1:6" x14ac:dyDescent="0.25">
      <c r="A1014" t="s">
        <v>1355</v>
      </c>
      <c r="B1014" s="248">
        <v>498.5</v>
      </c>
      <c r="C1014" t="s">
        <v>3999</v>
      </c>
      <c r="D1014" t="s">
        <v>3204</v>
      </c>
      <c r="E1014" s="249" t="s">
        <v>3048</v>
      </c>
      <c r="F1014">
        <v>1012</v>
      </c>
    </row>
    <row r="1015" spans="1:6" x14ac:dyDescent="0.25">
      <c r="A1015" t="s">
        <v>667</v>
      </c>
      <c r="B1015" s="248">
        <v>212</v>
      </c>
      <c r="C1015" t="s">
        <v>4000</v>
      </c>
      <c r="D1015" t="s">
        <v>3053</v>
      </c>
      <c r="E1015" s="249" t="s">
        <v>3045</v>
      </c>
      <c r="F1015">
        <v>1013</v>
      </c>
    </row>
    <row r="1016" spans="1:6" x14ac:dyDescent="0.25">
      <c r="A1016" t="s">
        <v>1062</v>
      </c>
      <c r="B1016" s="248">
        <v>541.5</v>
      </c>
      <c r="C1016" t="s">
        <v>4001</v>
      </c>
      <c r="D1016" t="s">
        <v>3053</v>
      </c>
      <c r="E1016" s="249" t="s">
        <v>3046</v>
      </c>
      <c r="F1016">
        <v>1014</v>
      </c>
    </row>
    <row r="1017" spans="1:6" x14ac:dyDescent="0.25">
      <c r="A1017" t="s">
        <v>731</v>
      </c>
      <c r="B1017" s="248">
        <v>212</v>
      </c>
      <c r="C1017" t="s">
        <v>4002</v>
      </c>
      <c r="D1017" t="s">
        <v>3053</v>
      </c>
      <c r="E1017" s="249" t="s">
        <v>3045</v>
      </c>
      <c r="F1017">
        <v>1015</v>
      </c>
    </row>
    <row r="1018" spans="1:6" x14ac:dyDescent="0.25">
      <c r="A1018" t="s">
        <v>732</v>
      </c>
      <c r="B1018" s="248">
        <v>212</v>
      </c>
      <c r="C1018" t="s">
        <v>4003</v>
      </c>
      <c r="D1018" t="s">
        <v>3053</v>
      </c>
      <c r="E1018" s="249" t="s">
        <v>3045</v>
      </c>
      <c r="F1018">
        <v>1016</v>
      </c>
    </row>
    <row r="1019" spans="1:6" x14ac:dyDescent="0.25">
      <c r="A1019" t="s">
        <v>1102</v>
      </c>
      <c r="B1019" s="248">
        <v>541.5</v>
      </c>
      <c r="C1019" t="s">
        <v>4004</v>
      </c>
      <c r="D1019" t="s">
        <v>3053</v>
      </c>
      <c r="E1019" s="249" t="s">
        <v>3046</v>
      </c>
      <c r="F1019">
        <v>1017</v>
      </c>
    </row>
    <row r="1020" spans="1:6" x14ac:dyDescent="0.25">
      <c r="A1020" t="s">
        <v>70</v>
      </c>
      <c r="B1020" s="248">
        <v>80.25</v>
      </c>
      <c r="C1020" t="s">
        <v>4005</v>
      </c>
      <c r="D1020" t="s">
        <v>3053</v>
      </c>
      <c r="E1020" s="249" t="s">
        <v>3043</v>
      </c>
      <c r="F1020">
        <v>1018</v>
      </c>
    </row>
    <row r="1021" spans="1:6" x14ac:dyDescent="0.25">
      <c r="A1021" t="s">
        <v>71</v>
      </c>
      <c r="B1021" s="248">
        <v>80.25</v>
      </c>
      <c r="C1021" t="s">
        <v>4006</v>
      </c>
      <c r="D1021" t="s">
        <v>3053</v>
      </c>
      <c r="E1021" s="249" t="s">
        <v>3043</v>
      </c>
      <c r="F1021">
        <v>1019</v>
      </c>
    </row>
    <row r="1022" spans="1:6" x14ac:dyDescent="0.25">
      <c r="A1022" t="s">
        <v>128</v>
      </c>
      <c r="B1022" s="248">
        <v>80.5</v>
      </c>
      <c r="C1022" t="s">
        <v>4007</v>
      </c>
      <c r="D1022" t="s">
        <v>3204</v>
      </c>
      <c r="E1022" s="249" t="s">
        <v>3043</v>
      </c>
      <c r="F1022">
        <v>1020</v>
      </c>
    </row>
    <row r="1023" spans="1:6" x14ac:dyDescent="0.25">
      <c r="A1023" t="s">
        <v>139</v>
      </c>
      <c r="B1023" s="248">
        <v>80.5</v>
      </c>
      <c r="C1023" t="s">
        <v>4008</v>
      </c>
      <c r="D1023" t="s">
        <v>3204</v>
      </c>
      <c r="E1023" s="249" t="s">
        <v>3043</v>
      </c>
      <c r="F1023">
        <v>1021</v>
      </c>
    </row>
    <row r="1024" spans="1:6" x14ac:dyDescent="0.25">
      <c r="A1024" t="s">
        <v>564</v>
      </c>
      <c r="B1024" s="248">
        <v>80.5</v>
      </c>
      <c r="C1024" t="s">
        <v>4009</v>
      </c>
      <c r="D1024" t="s">
        <v>3204</v>
      </c>
      <c r="E1024" s="249" t="s">
        <v>3044</v>
      </c>
      <c r="F1024">
        <v>1022</v>
      </c>
    </row>
    <row r="1025" spans="1:6" x14ac:dyDescent="0.25">
      <c r="A1025" t="s">
        <v>716</v>
      </c>
      <c r="B1025" s="248">
        <v>80.5</v>
      </c>
      <c r="C1025" t="s">
        <v>4010</v>
      </c>
      <c r="D1025" t="s">
        <v>3204</v>
      </c>
      <c r="E1025" s="249" t="s">
        <v>3045</v>
      </c>
      <c r="F1025">
        <v>1023</v>
      </c>
    </row>
    <row r="1026" spans="1:6" x14ac:dyDescent="0.25">
      <c r="A1026" t="s">
        <v>1066</v>
      </c>
      <c r="B1026" s="248">
        <v>654.5</v>
      </c>
      <c r="C1026" t="s">
        <v>4011</v>
      </c>
      <c r="D1026" t="s">
        <v>3053</v>
      </c>
      <c r="E1026" s="249" t="s">
        <v>3046</v>
      </c>
      <c r="F1026">
        <v>1024</v>
      </c>
    </row>
    <row r="1027" spans="1:6" x14ac:dyDescent="0.25">
      <c r="A1027" t="s">
        <v>73</v>
      </c>
      <c r="B1027" s="248">
        <v>109.5</v>
      </c>
      <c r="C1027" t="s">
        <v>4012</v>
      </c>
      <c r="D1027" t="s">
        <v>3053</v>
      </c>
      <c r="E1027" s="249" t="s">
        <v>3043</v>
      </c>
      <c r="F1027">
        <v>1025</v>
      </c>
    </row>
    <row r="1028" spans="1:6" x14ac:dyDescent="0.25">
      <c r="A1028" t="s">
        <v>74</v>
      </c>
      <c r="B1028" s="248">
        <v>109.5</v>
      </c>
      <c r="C1028" t="s">
        <v>4013</v>
      </c>
      <c r="D1028" t="s">
        <v>3053</v>
      </c>
      <c r="E1028" s="249" t="s">
        <v>3043</v>
      </c>
      <c r="F1028">
        <v>1026</v>
      </c>
    </row>
    <row r="1029" spans="1:6" x14ac:dyDescent="0.25">
      <c r="A1029" t="s">
        <v>1284</v>
      </c>
      <c r="B1029" s="248">
        <v>613</v>
      </c>
      <c r="C1029" t="s">
        <v>4014</v>
      </c>
      <c r="D1029" t="s">
        <v>3053</v>
      </c>
      <c r="E1029" s="249" t="s">
        <v>3047</v>
      </c>
      <c r="F1029">
        <v>1027</v>
      </c>
    </row>
    <row r="1030" spans="1:6" x14ac:dyDescent="0.25">
      <c r="A1030" t="s">
        <v>129</v>
      </c>
      <c r="B1030" s="248">
        <v>88.5</v>
      </c>
      <c r="C1030" t="s">
        <v>4015</v>
      </c>
      <c r="D1030" t="s">
        <v>3204</v>
      </c>
      <c r="E1030" s="249" t="s">
        <v>3043</v>
      </c>
      <c r="F1030">
        <v>1028</v>
      </c>
    </row>
    <row r="1031" spans="1:6" x14ac:dyDescent="0.25">
      <c r="A1031" t="s">
        <v>700</v>
      </c>
      <c r="B1031" s="248">
        <v>88.5</v>
      </c>
      <c r="C1031" t="s">
        <v>4016</v>
      </c>
      <c r="D1031" t="s">
        <v>3204</v>
      </c>
      <c r="E1031" s="249" t="s">
        <v>3045</v>
      </c>
      <c r="F1031">
        <v>1029</v>
      </c>
    </row>
    <row r="1032" spans="1:6" x14ac:dyDescent="0.25">
      <c r="A1032" t="s">
        <v>140</v>
      </c>
      <c r="B1032" s="248">
        <v>88.5</v>
      </c>
      <c r="C1032" t="s">
        <v>4017</v>
      </c>
      <c r="D1032" t="s">
        <v>3204</v>
      </c>
      <c r="E1032" s="249" t="s">
        <v>3043</v>
      </c>
      <c r="F1032">
        <v>1030</v>
      </c>
    </row>
    <row r="1033" spans="1:6" x14ac:dyDescent="0.25">
      <c r="A1033" t="s">
        <v>565</v>
      </c>
      <c r="B1033" s="248">
        <v>88.5</v>
      </c>
      <c r="C1033" t="s">
        <v>4018</v>
      </c>
      <c r="D1033" t="s">
        <v>3204</v>
      </c>
      <c r="E1033" s="249" t="s">
        <v>3044</v>
      </c>
      <c r="F1033">
        <v>1031</v>
      </c>
    </row>
    <row r="1034" spans="1:6" x14ac:dyDescent="0.25">
      <c r="A1034" t="s">
        <v>717</v>
      </c>
      <c r="B1034" s="248">
        <v>88.5</v>
      </c>
      <c r="C1034" t="s">
        <v>4019</v>
      </c>
      <c r="D1034" t="s">
        <v>3204</v>
      </c>
      <c r="E1034" s="249" t="s">
        <v>3045</v>
      </c>
      <c r="F1034">
        <v>1032</v>
      </c>
    </row>
    <row r="1035" spans="1:6" x14ac:dyDescent="0.25">
      <c r="A1035" t="s">
        <v>1330</v>
      </c>
      <c r="B1035" s="248">
        <v>541</v>
      </c>
      <c r="C1035" t="s">
        <v>4020</v>
      </c>
      <c r="D1035" t="s">
        <v>3204</v>
      </c>
      <c r="E1035" s="249" t="s">
        <v>3048</v>
      </c>
      <c r="F1035">
        <v>1033</v>
      </c>
    </row>
    <row r="1036" spans="1:6" x14ac:dyDescent="0.25">
      <c r="A1036" t="s">
        <v>1336</v>
      </c>
      <c r="B1036" s="248">
        <v>541</v>
      </c>
      <c r="C1036" t="s">
        <v>4021</v>
      </c>
      <c r="D1036" t="s">
        <v>3204</v>
      </c>
      <c r="E1036" s="249" t="s">
        <v>3048</v>
      </c>
      <c r="F1036">
        <v>1034</v>
      </c>
    </row>
    <row r="1037" spans="1:6" x14ac:dyDescent="0.25">
      <c r="A1037" t="s">
        <v>1350</v>
      </c>
      <c r="B1037" s="248">
        <v>541</v>
      </c>
      <c r="C1037" t="s">
        <v>4022</v>
      </c>
      <c r="D1037" t="s">
        <v>3204</v>
      </c>
      <c r="E1037" s="249" t="s">
        <v>3048</v>
      </c>
      <c r="F1037">
        <v>1035</v>
      </c>
    </row>
    <row r="1038" spans="1:6" x14ac:dyDescent="0.25">
      <c r="A1038" t="s">
        <v>1357</v>
      </c>
      <c r="B1038" s="248">
        <v>541</v>
      </c>
      <c r="C1038" t="s">
        <v>4023</v>
      </c>
      <c r="D1038" t="s">
        <v>3204</v>
      </c>
      <c r="E1038" s="249" t="s">
        <v>3048</v>
      </c>
      <c r="F1038">
        <v>1036</v>
      </c>
    </row>
    <row r="1039" spans="1:6" x14ac:dyDescent="0.25">
      <c r="A1039" t="s">
        <v>672</v>
      </c>
      <c r="B1039" s="248">
        <v>353</v>
      </c>
      <c r="C1039" t="s">
        <v>4024</v>
      </c>
      <c r="D1039" t="s">
        <v>3053</v>
      </c>
      <c r="E1039" s="249" t="s">
        <v>3045</v>
      </c>
      <c r="F1039">
        <v>1037</v>
      </c>
    </row>
    <row r="1040" spans="1:6" x14ac:dyDescent="0.25">
      <c r="A1040" t="s">
        <v>673</v>
      </c>
      <c r="B1040" s="248">
        <v>353</v>
      </c>
      <c r="C1040" t="s">
        <v>4025</v>
      </c>
      <c r="D1040" t="s">
        <v>3053</v>
      </c>
      <c r="E1040" s="249" t="s">
        <v>3045</v>
      </c>
      <c r="F1040">
        <v>1038</v>
      </c>
    </row>
    <row r="1041" spans="1:6" x14ac:dyDescent="0.25">
      <c r="A1041" t="s">
        <v>1069</v>
      </c>
      <c r="B1041" s="248">
        <v>943.5</v>
      </c>
      <c r="C1041" t="s">
        <v>4026</v>
      </c>
      <c r="D1041" t="s">
        <v>3053</v>
      </c>
      <c r="E1041" s="249" t="s">
        <v>3046</v>
      </c>
      <c r="F1041">
        <v>1039</v>
      </c>
    </row>
    <row r="1042" spans="1:6" x14ac:dyDescent="0.25">
      <c r="A1042" t="s">
        <v>737</v>
      </c>
      <c r="B1042" s="248">
        <v>353</v>
      </c>
      <c r="C1042" t="s">
        <v>4027</v>
      </c>
      <c r="D1042" t="s">
        <v>3053</v>
      </c>
      <c r="E1042" s="249" t="s">
        <v>3045</v>
      </c>
      <c r="F1042">
        <v>1040</v>
      </c>
    </row>
    <row r="1043" spans="1:6" x14ac:dyDescent="0.25">
      <c r="A1043" t="s">
        <v>76</v>
      </c>
      <c r="B1043" s="248">
        <v>163.5</v>
      </c>
      <c r="C1043" t="s">
        <v>4028</v>
      </c>
      <c r="D1043" t="s">
        <v>3053</v>
      </c>
      <c r="E1043" s="249" t="s">
        <v>3043</v>
      </c>
      <c r="F1043">
        <v>1041</v>
      </c>
    </row>
    <row r="1044" spans="1:6" x14ac:dyDescent="0.25">
      <c r="A1044" t="s">
        <v>77</v>
      </c>
      <c r="B1044" s="248">
        <v>163.5</v>
      </c>
      <c r="C1044" t="s">
        <v>4029</v>
      </c>
      <c r="D1044" t="s">
        <v>3053</v>
      </c>
      <c r="E1044" s="249" t="s">
        <v>3043</v>
      </c>
      <c r="F1044">
        <v>1042</v>
      </c>
    </row>
    <row r="1045" spans="1:6" x14ac:dyDescent="0.25">
      <c r="A1045" t="s">
        <v>1287</v>
      </c>
      <c r="B1045" s="248">
        <v>732.5</v>
      </c>
      <c r="C1045" t="s">
        <v>4030</v>
      </c>
      <c r="D1045" t="s">
        <v>3053</v>
      </c>
      <c r="E1045" s="249" t="s">
        <v>3047</v>
      </c>
      <c r="F1045">
        <v>1043</v>
      </c>
    </row>
    <row r="1046" spans="1:6" x14ac:dyDescent="0.25">
      <c r="A1046" t="s">
        <v>1288</v>
      </c>
      <c r="B1046" s="248">
        <v>732.5</v>
      </c>
      <c r="C1046" t="s">
        <v>4031</v>
      </c>
      <c r="D1046" t="s">
        <v>3053</v>
      </c>
      <c r="E1046" s="249" t="s">
        <v>3047</v>
      </c>
      <c r="F1046">
        <v>1044</v>
      </c>
    </row>
    <row r="1047" spans="1:6" x14ac:dyDescent="0.25">
      <c r="A1047" t="s">
        <v>196</v>
      </c>
      <c r="B1047" s="248">
        <v>1100</v>
      </c>
      <c r="C1047" t="s">
        <v>4032</v>
      </c>
      <c r="D1047" t="s">
        <v>3053</v>
      </c>
      <c r="E1047" s="249" t="s">
        <v>3043</v>
      </c>
      <c r="F1047">
        <v>1045</v>
      </c>
    </row>
    <row r="1048" spans="1:6" x14ac:dyDescent="0.25">
      <c r="A1048" t="s">
        <v>307</v>
      </c>
      <c r="B1048" s="248">
        <v>92</v>
      </c>
      <c r="C1048" t="s">
        <v>4033</v>
      </c>
      <c r="D1048" t="s">
        <v>3204</v>
      </c>
      <c r="E1048" s="249" t="s">
        <v>3045</v>
      </c>
      <c r="F1048">
        <v>1046</v>
      </c>
    </row>
    <row r="1049" spans="1:6" x14ac:dyDescent="0.25">
      <c r="A1049" t="s">
        <v>130</v>
      </c>
      <c r="B1049" s="248">
        <v>88.5</v>
      </c>
      <c r="C1049" t="s">
        <v>4034</v>
      </c>
      <c r="D1049" t="s">
        <v>3204</v>
      </c>
      <c r="E1049" s="249" t="s">
        <v>3043</v>
      </c>
      <c r="F1049">
        <v>1047</v>
      </c>
    </row>
    <row r="1050" spans="1:6" x14ac:dyDescent="0.25">
      <c r="A1050" t="s">
        <v>2813</v>
      </c>
      <c r="B1050" s="248">
        <v>88.5</v>
      </c>
      <c r="C1050" t="s">
        <v>4035</v>
      </c>
      <c r="D1050" t="s">
        <v>3204</v>
      </c>
      <c r="E1050" s="249" t="s">
        <v>3043</v>
      </c>
      <c r="F1050">
        <v>1048</v>
      </c>
    </row>
    <row r="1051" spans="1:6" x14ac:dyDescent="0.25">
      <c r="A1051" t="s">
        <v>544</v>
      </c>
      <c r="B1051" s="248">
        <v>88.5</v>
      </c>
      <c r="C1051" t="s">
        <v>4036</v>
      </c>
      <c r="D1051" t="s">
        <v>3204</v>
      </c>
      <c r="E1051" s="249" t="s">
        <v>3044</v>
      </c>
      <c r="F1051">
        <v>1049</v>
      </c>
    </row>
    <row r="1052" spans="1:6" x14ac:dyDescent="0.25">
      <c r="A1052" t="s">
        <v>701</v>
      </c>
      <c r="B1052" s="248">
        <v>88.5</v>
      </c>
      <c r="C1052" t="s">
        <v>4037</v>
      </c>
      <c r="D1052" t="s">
        <v>3204</v>
      </c>
      <c r="E1052" s="249" t="s">
        <v>3045</v>
      </c>
      <c r="F1052">
        <v>1050</v>
      </c>
    </row>
    <row r="1053" spans="1:6" x14ac:dyDescent="0.25">
      <c r="A1053" t="s">
        <v>321</v>
      </c>
      <c r="B1053" s="248">
        <v>92</v>
      </c>
      <c r="C1053" t="s">
        <v>4038</v>
      </c>
      <c r="D1053" t="s">
        <v>3204</v>
      </c>
      <c r="E1053" s="249" t="s">
        <v>3045</v>
      </c>
      <c r="F1053">
        <v>1051</v>
      </c>
    </row>
    <row r="1054" spans="1:6" x14ac:dyDescent="0.25">
      <c r="A1054" t="s">
        <v>141</v>
      </c>
      <c r="B1054" s="248">
        <v>88.5</v>
      </c>
      <c r="C1054" t="s">
        <v>4039</v>
      </c>
      <c r="D1054" t="s">
        <v>3204</v>
      </c>
      <c r="E1054" s="249" t="s">
        <v>3043</v>
      </c>
      <c r="F1054">
        <v>1052</v>
      </c>
    </row>
    <row r="1055" spans="1:6" x14ac:dyDescent="0.25">
      <c r="A1055" t="s">
        <v>707</v>
      </c>
      <c r="B1055" s="248">
        <v>88.5</v>
      </c>
      <c r="C1055" t="s">
        <v>4040</v>
      </c>
      <c r="D1055" t="s">
        <v>3204</v>
      </c>
      <c r="E1055" s="249" t="s">
        <v>3045</v>
      </c>
      <c r="F1055">
        <v>1053</v>
      </c>
    </row>
    <row r="1056" spans="1:6" x14ac:dyDescent="0.25">
      <c r="A1056" t="s">
        <v>152</v>
      </c>
      <c r="B1056" s="248">
        <v>88.5</v>
      </c>
      <c r="C1056" t="s">
        <v>4041</v>
      </c>
      <c r="D1056" t="s">
        <v>3204</v>
      </c>
      <c r="E1056" s="249" t="s">
        <v>3043</v>
      </c>
      <c r="F1056">
        <v>1054</v>
      </c>
    </row>
    <row r="1057" spans="1:6" x14ac:dyDescent="0.25">
      <c r="A1057" t="s">
        <v>558</v>
      </c>
      <c r="B1057" s="248">
        <v>88.5</v>
      </c>
      <c r="C1057" t="s">
        <v>4042</v>
      </c>
      <c r="D1057" t="s">
        <v>3204</v>
      </c>
      <c r="E1057" s="249" t="s">
        <v>3044</v>
      </c>
      <c r="F1057">
        <v>1055</v>
      </c>
    </row>
    <row r="1058" spans="1:6" x14ac:dyDescent="0.25">
      <c r="A1058" t="s">
        <v>2841</v>
      </c>
      <c r="B1058" s="248">
        <v>92</v>
      </c>
      <c r="C1058" t="s">
        <v>4043</v>
      </c>
      <c r="D1058" t="s">
        <v>3204</v>
      </c>
      <c r="E1058" s="249" t="s">
        <v>3043</v>
      </c>
      <c r="F1058">
        <v>1056</v>
      </c>
    </row>
    <row r="1059" spans="1:6" x14ac:dyDescent="0.25">
      <c r="A1059" t="s">
        <v>718</v>
      </c>
      <c r="B1059" s="248">
        <v>88.5</v>
      </c>
      <c r="C1059" t="s">
        <v>4044</v>
      </c>
      <c r="D1059" t="s">
        <v>3204</v>
      </c>
      <c r="E1059" s="249" t="s">
        <v>3045</v>
      </c>
      <c r="F1059">
        <v>1057</v>
      </c>
    </row>
    <row r="1060" spans="1:6" x14ac:dyDescent="0.25">
      <c r="A1060" t="s">
        <v>806</v>
      </c>
      <c r="B1060" s="248">
        <v>92</v>
      </c>
      <c r="C1060" t="s">
        <v>4045</v>
      </c>
      <c r="D1060" t="s">
        <v>3204</v>
      </c>
      <c r="E1060" s="249" t="s">
        <v>3045</v>
      </c>
      <c r="F1060">
        <v>1058</v>
      </c>
    </row>
    <row r="1061" spans="1:6" x14ac:dyDescent="0.25">
      <c r="A1061" t="s">
        <v>355</v>
      </c>
      <c r="B1061" s="248">
        <v>92</v>
      </c>
      <c r="C1061" t="s">
        <v>4046</v>
      </c>
      <c r="D1061" t="s">
        <v>3204</v>
      </c>
      <c r="E1061" s="249" t="s">
        <v>3045</v>
      </c>
      <c r="F1061">
        <v>1059</v>
      </c>
    </row>
    <row r="1062" spans="1:6" x14ac:dyDescent="0.25">
      <c r="A1062" t="s">
        <v>1331</v>
      </c>
      <c r="B1062" s="248">
        <v>541</v>
      </c>
      <c r="C1062" t="s">
        <v>4047</v>
      </c>
      <c r="D1062" t="s">
        <v>3204</v>
      </c>
      <c r="E1062" s="249" t="s">
        <v>3048</v>
      </c>
      <c r="F1062">
        <v>1060</v>
      </c>
    </row>
    <row r="1063" spans="1:6" x14ac:dyDescent="0.25">
      <c r="A1063" t="s">
        <v>1337</v>
      </c>
      <c r="B1063" s="248">
        <v>541</v>
      </c>
      <c r="C1063" t="s">
        <v>4048</v>
      </c>
      <c r="D1063" t="s">
        <v>3204</v>
      </c>
      <c r="E1063" s="249" t="s">
        <v>3048</v>
      </c>
      <c r="F1063">
        <v>1061</v>
      </c>
    </row>
    <row r="1064" spans="1:6" x14ac:dyDescent="0.25">
      <c r="A1064" t="s">
        <v>1344</v>
      </c>
      <c r="B1064" s="248">
        <v>541</v>
      </c>
      <c r="C1064" t="s">
        <v>4049</v>
      </c>
      <c r="D1064" t="s">
        <v>3204</v>
      </c>
      <c r="E1064" s="249" t="s">
        <v>3048</v>
      </c>
      <c r="F1064">
        <v>1062</v>
      </c>
    </row>
    <row r="1065" spans="1:6" x14ac:dyDescent="0.25">
      <c r="A1065" t="s">
        <v>1358</v>
      </c>
      <c r="B1065" s="248">
        <v>541</v>
      </c>
      <c r="C1065" t="s">
        <v>4050</v>
      </c>
      <c r="D1065" t="s">
        <v>3204</v>
      </c>
      <c r="E1065" s="249" t="s">
        <v>3048</v>
      </c>
      <c r="F1065">
        <v>1063</v>
      </c>
    </row>
    <row r="1066" spans="1:6" x14ac:dyDescent="0.25">
      <c r="A1066" t="s">
        <v>675</v>
      </c>
      <c r="B1066" s="248">
        <v>453</v>
      </c>
      <c r="C1066" t="s">
        <v>4051</v>
      </c>
      <c r="D1066" t="s">
        <v>3053</v>
      </c>
      <c r="E1066" s="249" t="s">
        <v>3045</v>
      </c>
      <c r="F1066">
        <v>1064</v>
      </c>
    </row>
    <row r="1067" spans="1:6" x14ac:dyDescent="0.25">
      <c r="A1067" t="s">
        <v>676</v>
      </c>
      <c r="B1067" s="248">
        <v>453</v>
      </c>
      <c r="C1067" t="s">
        <v>4052</v>
      </c>
      <c r="D1067" t="s">
        <v>3053</v>
      </c>
      <c r="E1067" s="249" t="s">
        <v>3045</v>
      </c>
      <c r="F1067">
        <v>1065</v>
      </c>
    </row>
    <row r="1068" spans="1:6" x14ac:dyDescent="0.25">
      <c r="A1068" t="s">
        <v>740</v>
      </c>
      <c r="B1068" s="248">
        <v>453</v>
      </c>
      <c r="C1068" t="s">
        <v>4053</v>
      </c>
      <c r="D1068" t="s">
        <v>3053</v>
      </c>
      <c r="E1068" s="249" t="s">
        <v>3045</v>
      </c>
      <c r="F1068">
        <v>1066</v>
      </c>
    </row>
    <row r="1069" spans="1:6" x14ac:dyDescent="0.25">
      <c r="A1069" t="s">
        <v>741</v>
      </c>
      <c r="B1069" s="248">
        <v>453</v>
      </c>
      <c r="C1069" t="s">
        <v>4054</v>
      </c>
      <c r="D1069" t="s">
        <v>3053</v>
      </c>
      <c r="E1069" s="249" t="s">
        <v>3045</v>
      </c>
      <c r="F1069">
        <v>1067</v>
      </c>
    </row>
    <row r="1070" spans="1:6" x14ac:dyDescent="0.25">
      <c r="A1070" t="s">
        <v>229</v>
      </c>
      <c r="B1070" s="248">
        <v>347.5</v>
      </c>
      <c r="C1070" t="s">
        <v>4055</v>
      </c>
      <c r="D1070" t="s">
        <v>3053</v>
      </c>
      <c r="E1070" s="249" t="s">
        <v>3043</v>
      </c>
      <c r="F1070">
        <v>1068</v>
      </c>
    </row>
    <row r="1071" spans="1:6" x14ac:dyDescent="0.25">
      <c r="A1071" t="s">
        <v>5910</v>
      </c>
      <c r="B1071" s="248">
        <v>347.5</v>
      </c>
      <c r="C1071" t="s">
        <v>5932</v>
      </c>
      <c r="D1071" t="s">
        <v>3053</v>
      </c>
      <c r="E1071" s="249" t="s">
        <v>3043</v>
      </c>
      <c r="F1071">
        <v>1069</v>
      </c>
    </row>
    <row r="1072" spans="1:6" x14ac:dyDescent="0.25">
      <c r="A1072" t="s">
        <v>2988</v>
      </c>
      <c r="B1072" s="248">
        <v>3143</v>
      </c>
      <c r="C1072" t="s">
        <v>4056</v>
      </c>
      <c r="D1072" t="s">
        <v>3053</v>
      </c>
      <c r="E1072" s="249" t="s">
        <v>3045</v>
      </c>
      <c r="F1072">
        <v>1070</v>
      </c>
    </row>
    <row r="1073" spans="1:6" x14ac:dyDescent="0.25">
      <c r="A1073" t="s">
        <v>1033</v>
      </c>
      <c r="B1073" s="248">
        <v>3143</v>
      </c>
      <c r="C1073" t="s">
        <v>4057</v>
      </c>
      <c r="D1073" t="s">
        <v>3053</v>
      </c>
      <c r="E1073" s="249" t="s">
        <v>3045</v>
      </c>
      <c r="F1073">
        <v>1071</v>
      </c>
    </row>
    <row r="1074" spans="1:6" x14ac:dyDescent="0.25">
      <c r="A1074" t="s">
        <v>856</v>
      </c>
      <c r="B1074" s="248">
        <v>1218</v>
      </c>
      <c r="C1074" t="s">
        <v>4058</v>
      </c>
      <c r="D1074" t="s">
        <v>3053</v>
      </c>
      <c r="E1074" s="249" t="s">
        <v>3045</v>
      </c>
      <c r="F1074">
        <v>1072</v>
      </c>
    </row>
    <row r="1075" spans="1:6" x14ac:dyDescent="0.25">
      <c r="A1075" t="s">
        <v>857</v>
      </c>
      <c r="B1075" s="248">
        <v>1218</v>
      </c>
      <c r="C1075" t="s">
        <v>4059</v>
      </c>
      <c r="D1075" t="s">
        <v>3053</v>
      </c>
      <c r="E1075" s="249" t="s">
        <v>3045</v>
      </c>
      <c r="F1075">
        <v>1073</v>
      </c>
    </row>
    <row r="1076" spans="1:6" x14ac:dyDescent="0.25">
      <c r="A1076" t="s">
        <v>952</v>
      </c>
      <c r="B1076" s="248">
        <v>1770</v>
      </c>
      <c r="C1076" t="s">
        <v>4060</v>
      </c>
      <c r="D1076" t="s">
        <v>3053</v>
      </c>
      <c r="E1076" s="249" t="s">
        <v>3045</v>
      </c>
      <c r="F1076">
        <v>1074</v>
      </c>
    </row>
    <row r="1077" spans="1:6" x14ac:dyDescent="0.25">
      <c r="A1077" t="s">
        <v>953</v>
      </c>
      <c r="B1077" s="248">
        <v>1770</v>
      </c>
      <c r="C1077" t="s">
        <v>4061</v>
      </c>
      <c r="D1077" t="s">
        <v>3053</v>
      </c>
      <c r="E1077" s="249" t="s">
        <v>3045</v>
      </c>
      <c r="F1077">
        <v>1075</v>
      </c>
    </row>
    <row r="1078" spans="1:6" x14ac:dyDescent="0.25">
      <c r="A1078" t="s">
        <v>164</v>
      </c>
      <c r="B1078" s="248">
        <v>93.5</v>
      </c>
      <c r="C1078" t="s">
        <v>4062</v>
      </c>
      <c r="D1078" t="s">
        <v>3204</v>
      </c>
      <c r="E1078" s="249" t="s">
        <v>3043</v>
      </c>
      <c r="F1078">
        <v>1076</v>
      </c>
    </row>
    <row r="1079" spans="1:6" x14ac:dyDescent="0.25">
      <c r="A1079" t="s">
        <v>1293</v>
      </c>
      <c r="B1079" s="248">
        <v>1188</v>
      </c>
      <c r="C1079" t="s">
        <v>4063</v>
      </c>
      <c r="D1079" t="s">
        <v>3053</v>
      </c>
      <c r="E1079" s="249" t="s">
        <v>3047</v>
      </c>
      <c r="F1079">
        <v>1077</v>
      </c>
    </row>
    <row r="1080" spans="1:6" x14ac:dyDescent="0.25">
      <c r="A1080" t="s">
        <v>1871</v>
      </c>
      <c r="B1080" s="248">
        <v>4649</v>
      </c>
      <c r="C1080" t="s">
        <v>4064</v>
      </c>
      <c r="D1080" t="s">
        <v>3053</v>
      </c>
      <c r="E1080" s="249" t="s">
        <v>3049</v>
      </c>
      <c r="F1080">
        <v>1078</v>
      </c>
    </row>
    <row r="1081" spans="1:6" x14ac:dyDescent="0.25">
      <c r="A1081" t="s">
        <v>442</v>
      </c>
      <c r="B1081" s="248">
        <v>125</v>
      </c>
      <c r="C1081" t="s">
        <v>4065</v>
      </c>
      <c r="D1081" t="s">
        <v>3204</v>
      </c>
      <c r="E1081" s="249" t="s">
        <v>3043</v>
      </c>
      <c r="F1081">
        <v>1079</v>
      </c>
    </row>
    <row r="1082" spans="1:6" x14ac:dyDescent="0.25">
      <c r="A1082" t="s">
        <v>309</v>
      </c>
      <c r="B1082" s="248">
        <v>125</v>
      </c>
      <c r="C1082" t="s">
        <v>4066</v>
      </c>
      <c r="D1082" t="s">
        <v>3204</v>
      </c>
      <c r="E1082" s="249" t="s">
        <v>3045</v>
      </c>
      <c r="F1082">
        <v>1080</v>
      </c>
    </row>
    <row r="1083" spans="1:6" x14ac:dyDescent="0.25">
      <c r="A1083" t="s">
        <v>323</v>
      </c>
      <c r="B1083" s="248">
        <v>125</v>
      </c>
      <c r="C1083" t="s">
        <v>4067</v>
      </c>
      <c r="D1083" t="s">
        <v>3204</v>
      </c>
      <c r="E1083" s="249" t="s">
        <v>3045</v>
      </c>
      <c r="F1083">
        <v>1081</v>
      </c>
    </row>
    <row r="1084" spans="1:6" x14ac:dyDescent="0.25">
      <c r="A1084" t="s">
        <v>334</v>
      </c>
      <c r="B1084" s="248">
        <v>125</v>
      </c>
      <c r="C1084" t="s">
        <v>4068</v>
      </c>
      <c r="D1084" t="s">
        <v>3204</v>
      </c>
      <c r="E1084" s="249" t="s">
        <v>3045</v>
      </c>
      <c r="F1084">
        <v>1082</v>
      </c>
    </row>
    <row r="1085" spans="1:6" x14ac:dyDescent="0.25">
      <c r="A1085" t="s">
        <v>347</v>
      </c>
      <c r="B1085" s="248">
        <v>125</v>
      </c>
      <c r="C1085" t="s">
        <v>4069</v>
      </c>
      <c r="D1085" t="s">
        <v>3204</v>
      </c>
      <c r="E1085" s="249" t="s">
        <v>3045</v>
      </c>
      <c r="F1085">
        <v>1083</v>
      </c>
    </row>
    <row r="1086" spans="1:6" x14ac:dyDescent="0.25">
      <c r="A1086" t="s">
        <v>357</v>
      </c>
      <c r="B1086" s="248">
        <v>125</v>
      </c>
      <c r="C1086" t="s">
        <v>4070</v>
      </c>
      <c r="D1086" t="s">
        <v>3204</v>
      </c>
      <c r="E1086" s="249" t="s">
        <v>3045</v>
      </c>
      <c r="F1086">
        <v>1084</v>
      </c>
    </row>
    <row r="1087" spans="1:6" x14ac:dyDescent="0.25">
      <c r="A1087" t="s">
        <v>1339</v>
      </c>
      <c r="B1087" s="248">
        <v>996.5</v>
      </c>
      <c r="C1087" t="s">
        <v>4071</v>
      </c>
      <c r="D1087" t="s">
        <v>3204</v>
      </c>
      <c r="E1087" s="249" t="s">
        <v>3048</v>
      </c>
      <c r="F1087">
        <v>1085</v>
      </c>
    </row>
    <row r="1088" spans="1:6" x14ac:dyDescent="0.25">
      <c r="A1088" t="s">
        <v>1765</v>
      </c>
      <c r="B1088" s="248">
        <v>996.5</v>
      </c>
      <c r="C1088" t="s">
        <v>4072</v>
      </c>
      <c r="D1088" t="s">
        <v>3204</v>
      </c>
      <c r="E1088" s="249" t="s">
        <v>3048</v>
      </c>
      <c r="F1088">
        <v>1086</v>
      </c>
    </row>
    <row r="1089" spans="1:6" x14ac:dyDescent="0.25">
      <c r="A1089" t="s">
        <v>236</v>
      </c>
      <c r="B1089" s="248">
        <v>455.5</v>
      </c>
      <c r="C1089" t="s">
        <v>4073</v>
      </c>
      <c r="D1089" t="s">
        <v>3053</v>
      </c>
      <c r="E1089" s="249" t="s">
        <v>3043</v>
      </c>
      <c r="F1089">
        <v>1087</v>
      </c>
    </row>
    <row r="1090" spans="1:6" x14ac:dyDescent="0.25">
      <c r="A1090" t="s">
        <v>237</v>
      </c>
      <c r="B1090" s="248">
        <v>455.5</v>
      </c>
      <c r="C1090" t="s">
        <v>4074</v>
      </c>
      <c r="D1090" t="s">
        <v>3053</v>
      </c>
      <c r="E1090" s="249" t="s">
        <v>3043</v>
      </c>
      <c r="F1090">
        <v>1088</v>
      </c>
    </row>
    <row r="1091" spans="1:6" x14ac:dyDescent="0.25">
      <c r="A1091" t="s">
        <v>1037</v>
      </c>
      <c r="B1091" s="248">
        <v>4771</v>
      </c>
      <c r="C1091" t="s">
        <v>4075</v>
      </c>
      <c r="D1091" t="s">
        <v>3053</v>
      </c>
      <c r="E1091" s="249" t="s">
        <v>3045</v>
      </c>
      <c r="F1091">
        <v>1089</v>
      </c>
    </row>
    <row r="1092" spans="1:6" x14ac:dyDescent="0.25">
      <c r="A1092" t="s">
        <v>958</v>
      </c>
      <c r="B1092" s="248">
        <v>1825</v>
      </c>
      <c r="C1092" t="s">
        <v>4076</v>
      </c>
      <c r="D1092" t="s">
        <v>3053</v>
      </c>
      <c r="E1092" s="249" t="s">
        <v>3045</v>
      </c>
      <c r="F1092">
        <v>1090</v>
      </c>
    </row>
    <row r="1093" spans="1:6" x14ac:dyDescent="0.25">
      <c r="A1093" t="s">
        <v>959</v>
      </c>
      <c r="B1093" s="248">
        <v>1825</v>
      </c>
      <c r="C1093" t="s">
        <v>4077</v>
      </c>
      <c r="D1093" t="s">
        <v>3053</v>
      </c>
      <c r="E1093" s="249" t="s">
        <v>3045</v>
      </c>
      <c r="F1093">
        <v>1091</v>
      </c>
    </row>
    <row r="1094" spans="1:6" x14ac:dyDescent="0.25">
      <c r="A1094" t="s">
        <v>1706</v>
      </c>
      <c r="B1094" s="248">
        <v>3554</v>
      </c>
      <c r="C1094" t="s">
        <v>4078</v>
      </c>
      <c r="D1094" t="s">
        <v>3053</v>
      </c>
      <c r="E1094" s="249" t="s">
        <v>3048</v>
      </c>
      <c r="F1094">
        <v>1092</v>
      </c>
    </row>
    <row r="1095" spans="1:6" x14ac:dyDescent="0.25">
      <c r="A1095" t="s">
        <v>310</v>
      </c>
      <c r="B1095" s="248">
        <v>204</v>
      </c>
      <c r="C1095" t="s">
        <v>4079</v>
      </c>
      <c r="D1095" t="s">
        <v>3204</v>
      </c>
      <c r="E1095" s="249" t="s">
        <v>3045</v>
      </c>
      <c r="F1095">
        <v>1093</v>
      </c>
    </row>
    <row r="1096" spans="1:6" x14ac:dyDescent="0.25">
      <c r="A1096" t="s">
        <v>358</v>
      </c>
      <c r="B1096" s="248">
        <v>204</v>
      </c>
      <c r="C1096" t="s">
        <v>4080</v>
      </c>
      <c r="D1096" t="s">
        <v>3204</v>
      </c>
      <c r="E1096" s="249" t="s">
        <v>3045</v>
      </c>
      <c r="F1096">
        <v>1094</v>
      </c>
    </row>
    <row r="1097" spans="1:6" x14ac:dyDescent="0.25">
      <c r="A1097" t="s">
        <v>1746</v>
      </c>
      <c r="B1097" s="248">
        <v>1080</v>
      </c>
      <c r="C1097" t="s">
        <v>4081</v>
      </c>
      <c r="D1097" t="s">
        <v>3204</v>
      </c>
      <c r="E1097" s="249" t="s">
        <v>3048</v>
      </c>
      <c r="F1097">
        <v>1095</v>
      </c>
    </row>
    <row r="1098" spans="1:6" x14ac:dyDescent="0.25">
      <c r="A1098" t="s">
        <v>239</v>
      </c>
      <c r="B1098" s="248">
        <v>754.5</v>
      </c>
      <c r="C1098" t="s">
        <v>4082</v>
      </c>
      <c r="D1098" t="s">
        <v>3053</v>
      </c>
      <c r="E1098" s="249" t="s">
        <v>3043</v>
      </c>
      <c r="F1098">
        <v>1096</v>
      </c>
    </row>
    <row r="1099" spans="1:6" x14ac:dyDescent="0.25">
      <c r="A1099" t="s">
        <v>240</v>
      </c>
      <c r="B1099" s="248">
        <v>754.5</v>
      </c>
      <c r="C1099" t="s">
        <v>4083</v>
      </c>
      <c r="D1099" t="s">
        <v>3053</v>
      </c>
      <c r="E1099" s="249" t="s">
        <v>3043</v>
      </c>
      <c r="F1099">
        <v>1097</v>
      </c>
    </row>
    <row r="1100" spans="1:6" x14ac:dyDescent="0.25">
      <c r="A1100" t="s">
        <v>865</v>
      </c>
      <c r="B1100" s="248">
        <v>2305</v>
      </c>
      <c r="C1100" t="s">
        <v>4084</v>
      </c>
      <c r="D1100" t="s">
        <v>3053</v>
      </c>
      <c r="E1100" s="249" t="s">
        <v>3045</v>
      </c>
      <c r="F1100">
        <v>1098</v>
      </c>
    </row>
    <row r="1101" spans="1:6" x14ac:dyDescent="0.25">
      <c r="A1101" t="s">
        <v>866</v>
      </c>
      <c r="B1101" s="248">
        <v>2305</v>
      </c>
      <c r="C1101" t="s">
        <v>4085</v>
      </c>
      <c r="D1101" t="s">
        <v>3053</v>
      </c>
      <c r="E1101" s="249" t="s">
        <v>3045</v>
      </c>
      <c r="F1101">
        <v>1099</v>
      </c>
    </row>
    <row r="1102" spans="1:6" x14ac:dyDescent="0.25">
      <c r="A1102" t="s">
        <v>326</v>
      </c>
      <c r="B1102" s="248">
        <v>394.5</v>
      </c>
      <c r="C1102" t="s">
        <v>4086</v>
      </c>
      <c r="D1102" t="s">
        <v>3204</v>
      </c>
      <c r="E1102" s="249" t="s">
        <v>3045</v>
      </c>
      <c r="F1102">
        <v>1100</v>
      </c>
    </row>
    <row r="1103" spans="1:6" x14ac:dyDescent="0.25">
      <c r="A1103" t="s">
        <v>2869</v>
      </c>
      <c r="B1103" s="248">
        <v>394.5</v>
      </c>
      <c r="C1103" t="s">
        <v>4087</v>
      </c>
      <c r="D1103" t="s">
        <v>3204</v>
      </c>
      <c r="E1103" s="249" t="s">
        <v>3046</v>
      </c>
      <c r="F1103">
        <v>1101</v>
      </c>
    </row>
    <row r="1104" spans="1:6" x14ac:dyDescent="0.25">
      <c r="A1104" t="s">
        <v>246</v>
      </c>
      <c r="B1104" s="248">
        <v>1512</v>
      </c>
      <c r="C1104" t="s">
        <v>4088</v>
      </c>
      <c r="D1104" t="s">
        <v>3053</v>
      </c>
      <c r="E1104" s="249" t="s">
        <v>3043</v>
      </c>
      <c r="F1104">
        <v>1102</v>
      </c>
    </row>
    <row r="1105" spans="1:6" x14ac:dyDescent="0.25">
      <c r="A1105" t="s">
        <v>247</v>
      </c>
      <c r="B1105" s="248">
        <v>1512</v>
      </c>
      <c r="C1105" t="s">
        <v>4089</v>
      </c>
      <c r="D1105" t="s">
        <v>3053</v>
      </c>
      <c r="E1105" s="249" t="s">
        <v>3043</v>
      </c>
      <c r="F1105">
        <v>1103</v>
      </c>
    </row>
    <row r="1106" spans="1:6" x14ac:dyDescent="0.25">
      <c r="A1106" t="s">
        <v>871</v>
      </c>
      <c r="B1106" s="248">
        <v>4107</v>
      </c>
      <c r="C1106" t="s">
        <v>4090</v>
      </c>
      <c r="D1106" t="s">
        <v>3053</v>
      </c>
      <c r="E1106" s="249" t="s">
        <v>3045</v>
      </c>
      <c r="F1106">
        <v>1104</v>
      </c>
    </row>
    <row r="1107" spans="1:6" x14ac:dyDescent="0.25">
      <c r="A1107" t="s">
        <v>872</v>
      </c>
      <c r="B1107" s="248">
        <v>4107</v>
      </c>
      <c r="C1107" t="s">
        <v>4091</v>
      </c>
      <c r="D1107" t="s">
        <v>3053</v>
      </c>
      <c r="E1107" s="249" t="s">
        <v>3045</v>
      </c>
      <c r="F1107">
        <v>1105</v>
      </c>
    </row>
    <row r="1108" spans="1:6" x14ac:dyDescent="0.25">
      <c r="A1108" t="s">
        <v>120</v>
      </c>
      <c r="B1108" s="248">
        <v>59.25</v>
      </c>
      <c r="C1108" t="s">
        <v>4092</v>
      </c>
      <c r="D1108" t="s">
        <v>3204</v>
      </c>
      <c r="E1108" s="249" t="s">
        <v>3043</v>
      </c>
      <c r="F1108">
        <v>1106</v>
      </c>
    </row>
    <row r="1109" spans="1:6" x14ac:dyDescent="0.25">
      <c r="A1109" t="s">
        <v>694</v>
      </c>
      <c r="B1109" s="248">
        <v>24.75</v>
      </c>
      <c r="C1109" t="s">
        <v>4093</v>
      </c>
      <c r="D1109" t="s">
        <v>3204</v>
      </c>
      <c r="E1109" s="249" t="s">
        <v>3045</v>
      </c>
      <c r="F1109">
        <v>1107</v>
      </c>
    </row>
    <row r="1110" spans="1:6" x14ac:dyDescent="0.25">
      <c r="A1110" t="s">
        <v>6341</v>
      </c>
      <c r="B1110" s="248">
        <v>24.75</v>
      </c>
      <c r="C1110" t="s">
        <v>5040</v>
      </c>
      <c r="D1110" t="s">
        <v>3204</v>
      </c>
      <c r="E1110" s="249" t="s">
        <v>3045</v>
      </c>
      <c r="F1110">
        <v>1108</v>
      </c>
    </row>
    <row r="1111" spans="1:6" x14ac:dyDescent="0.25">
      <c r="A1111" t="s">
        <v>6342</v>
      </c>
      <c r="B1111" s="248">
        <v>29.75</v>
      </c>
      <c r="C1111" t="s">
        <v>5041</v>
      </c>
      <c r="D1111" t="s">
        <v>3204</v>
      </c>
      <c r="E1111" s="249" t="s">
        <v>3045</v>
      </c>
      <c r="F1111">
        <v>1109</v>
      </c>
    </row>
    <row r="1112" spans="1:6" x14ac:dyDescent="0.25">
      <c r="A1112" t="s">
        <v>780</v>
      </c>
      <c r="B1112" s="248">
        <v>80.5</v>
      </c>
      <c r="C1112" t="s">
        <v>4094</v>
      </c>
      <c r="D1112" t="s">
        <v>3204</v>
      </c>
      <c r="E1112" s="249" t="s">
        <v>3045</v>
      </c>
      <c r="F1112">
        <v>1110</v>
      </c>
    </row>
    <row r="1113" spans="1:6" x14ac:dyDescent="0.25">
      <c r="A1113" t="s">
        <v>781</v>
      </c>
      <c r="B1113" s="248">
        <v>80.5</v>
      </c>
      <c r="C1113" t="s">
        <v>4095</v>
      </c>
      <c r="D1113" t="s">
        <v>3204</v>
      </c>
      <c r="E1113" s="249" t="s">
        <v>3045</v>
      </c>
      <c r="F1113">
        <v>1111</v>
      </c>
    </row>
    <row r="1114" spans="1:6" x14ac:dyDescent="0.25">
      <c r="A1114" t="s">
        <v>782</v>
      </c>
      <c r="B1114" s="248">
        <v>88.5</v>
      </c>
      <c r="C1114" t="s">
        <v>4096</v>
      </c>
      <c r="D1114" t="s">
        <v>3204</v>
      </c>
      <c r="E1114" s="249" t="s">
        <v>3045</v>
      </c>
      <c r="F1114">
        <v>1112</v>
      </c>
    </row>
    <row r="1115" spans="1:6" x14ac:dyDescent="0.25">
      <c r="A1115" t="s">
        <v>783</v>
      </c>
      <c r="B1115" s="248">
        <v>88.5</v>
      </c>
      <c r="C1115" t="s">
        <v>4097</v>
      </c>
      <c r="D1115" t="s">
        <v>3204</v>
      </c>
      <c r="E1115" s="249" t="s">
        <v>3045</v>
      </c>
      <c r="F1115">
        <v>1113</v>
      </c>
    </row>
    <row r="1116" spans="1:6" x14ac:dyDescent="0.25">
      <c r="A1116" t="s">
        <v>699</v>
      </c>
      <c r="B1116" s="248">
        <v>80.5</v>
      </c>
      <c r="C1116" t="s">
        <v>4098</v>
      </c>
      <c r="D1116" t="s">
        <v>3204</v>
      </c>
      <c r="E1116" s="249" t="s">
        <v>3045</v>
      </c>
      <c r="F1116">
        <v>1114</v>
      </c>
    </row>
    <row r="1117" spans="1:6" x14ac:dyDescent="0.25">
      <c r="A1117" t="s">
        <v>710</v>
      </c>
      <c r="B1117" s="248">
        <v>80.5</v>
      </c>
      <c r="C1117" t="s">
        <v>4099</v>
      </c>
      <c r="D1117" t="s">
        <v>3204</v>
      </c>
      <c r="E1117" s="249" t="s">
        <v>3045</v>
      </c>
      <c r="F1117">
        <v>1115</v>
      </c>
    </row>
    <row r="1118" spans="1:6" x14ac:dyDescent="0.25">
      <c r="A1118" t="s">
        <v>709</v>
      </c>
      <c r="B1118" s="248">
        <v>80.5</v>
      </c>
      <c r="C1118" t="s">
        <v>4100</v>
      </c>
      <c r="D1118" t="s">
        <v>3204</v>
      </c>
      <c r="E1118" s="249" t="s">
        <v>3045</v>
      </c>
      <c r="F1118">
        <v>1116</v>
      </c>
    </row>
    <row r="1119" spans="1:6" x14ac:dyDescent="0.25">
      <c r="A1119" t="s">
        <v>711</v>
      </c>
      <c r="B1119" s="248">
        <v>88.5</v>
      </c>
      <c r="C1119" t="s">
        <v>4101</v>
      </c>
      <c r="D1119" t="s">
        <v>3204</v>
      </c>
      <c r="E1119" s="249" t="s">
        <v>3045</v>
      </c>
      <c r="F1119">
        <v>1117</v>
      </c>
    </row>
    <row r="1120" spans="1:6" x14ac:dyDescent="0.25">
      <c r="A1120" t="s">
        <v>712</v>
      </c>
      <c r="B1120" s="248">
        <v>88.5</v>
      </c>
      <c r="C1120" t="s">
        <v>4102</v>
      </c>
      <c r="D1120" t="s">
        <v>3204</v>
      </c>
      <c r="E1120" s="249" t="s">
        <v>3045</v>
      </c>
      <c r="F1120">
        <v>1118</v>
      </c>
    </row>
    <row r="1121" spans="1:6" x14ac:dyDescent="0.25">
      <c r="A1121" t="s">
        <v>805</v>
      </c>
      <c r="B1121" s="248">
        <v>92</v>
      </c>
      <c r="C1121" t="s">
        <v>4103</v>
      </c>
      <c r="D1121" t="s">
        <v>3204</v>
      </c>
      <c r="E1121" s="249" t="s">
        <v>3045</v>
      </c>
      <c r="F1121">
        <v>1119</v>
      </c>
    </row>
    <row r="1122" spans="1:6" x14ac:dyDescent="0.25">
      <c r="A1122" t="s">
        <v>150</v>
      </c>
      <c r="B1122" s="248">
        <v>80.5</v>
      </c>
      <c r="C1122" t="s">
        <v>4104</v>
      </c>
      <c r="D1122" t="s">
        <v>3204</v>
      </c>
      <c r="E1122" s="249" t="s">
        <v>3043</v>
      </c>
      <c r="F1122">
        <v>1120</v>
      </c>
    </row>
    <row r="1123" spans="1:6" x14ac:dyDescent="0.25">
      <c r="A1123" t="s">
        <v>151</v>
      </c>
      <c r="B1123" s="248">
        <v>88.5</v>
      </c>
      <c r="C1123" t="s">
        <v>4105</v>
      </c>
      <c r="D1123" t="s">
        <v>3204</v>
      </c>
      <c r="E1123" s="249" t="s">
        <v>3043</v>
      </c>
      <c r="F1123">
        <v>1121</v>
      </c>
    </row>
    <row r="1124" spans="1:6" x14ac:dyDescent="0.25">
      <c r="A1124" t="s">
        <v>538</v>
      </c>
      <c r="B1124" s="248">
        <v>125</v>
      </c>
      <c r="C1124" t="s">
        <v>4106</v>
      </c>
      <c r="D1124" t="s">
        <v>3204</v>
      </c>
      <c r="E1124" s="249" t="s">
        <v>3044</v>
      </c>
      <c r="F1124">
        <v>1122</v>
      </c>
    </row>
    <row r="1125" spans="1:6" x14ac:dyDescent="0.25">
      <c r="A1125" t="s">
        <v>304</v>
      </c>
      <c r="B1125" s="248">
        <v>3938</v>
      </c>
      <c r="C1125" t="s">
        <v>4107</v>
      </c>
      <c r="D1125" t="s">
        <v>3204</v>
      </c>
      <c r="E1125" s="249" t="s">
        <v>3043</v>
      </c>
      <c r="F1125">
        <v>1123</v>
      </c>
    </row>
    <row r="1126" spans="1:6" x14ac:dyDescent="0.25">
      <c r="A1126" t="s">
        <v>318</v>
      </c>
      <c r="B1126" s="248">
        <v>6303</v>
      </c>
      <c r="C1126" t="s">
        <v>4108</v>
      </c>
      <c r="D1126" t="s">
        <v>3204</v>
      </c>
      <c r="E1126" s="249" t="s">
        <v>3045</v>
      </c>
      <c r="F1126">
        <v>1124</v>
      </c>
    </row>
    <row r="1127" spans="1:6" x14ac:dyDescent="0.25">
      <c r="A1127" t="s">
        <v>146</v>
      </c>
      <c r="B1127" s="248">
        <v>57.5</v>
      </c>
      <c r="C1127" t="s">
        <v>4109</v>
      </c>
      <c r="D1127" t="s">
        <v>3204</v>
      </c>
      <c r="E1127" s="249" t="s">
        <v>3043</v>
      </c>
      <c r="F1127">
        <v>1125</v>
      </c>
    </row>
    <row r="1128" spans="1:6" x14ac:dyDescent="0.25">
      <c r="A1128" t="s">
        <v>157</v>
      </c>
      <c r="B1128" s="248">
        <v>57.5</v>
      </c>
      <c r="C1128" t="s">
        <v>4110</v>
      </c>
      <c r="D1128" t="s">
        <v>3204</v>
      </c>
      <c r="E1128" s="249" t="s">
        <v>3043</v>
      </c>
      <c r="F1128">
        <v>1126</v>
      </c>
    </row>
    <row r="1129" spans="1:6" x14ac:dyDescent="0.25">
      <c r="A1129" t="s">
        <v>136</v>
      </c>
      <c r="B1129" s="248">
        <v>63.5</v>
      </c>
      <c r="C1129" t="s">
        <v>4111</v>
      </c>
      <c r="D1129" t="s">
        <v>3204</v>
      </c>
      <c r="E1129" s="249" t="s">
        <v>3043</v>
      </c>
      <c r="F1129">
        <v>1127</v>
      </c>
    </row>
    <row r="1130" spans="1:6" x14ac:dyDescent="0.25">
      <c r="A1130" t="s">
        <v>147</v>
      </c>
      <c r="B1130" s="248">
        <v>63.5</v>
      </c>
      <c r="C1130" t="s">
        <v>4112</v>
      </c>
      <c r="D1130" t="s">
        <v>3204</v>
      </c>
      <c r="E1130" s="249" t="s">
        <v>3043</v>
      </c>
      <c r="F1130">
        <v>1128</v>
      </c>
    </row>
    <row r="1131" spans="1:6" x14ac:dyDescent="0.25">
      <c r="A1131" t="s">
        <v>158</v>
      </c>
      <c r="B1131" s="248">
        <v>63.5</v>
      </c>
      <c r="C1131" t="s">
        <v>4113</v>
      </c>
      <c r="D1131" t="s">
        <v>3204</v>
      </c>
      <c r="E1131" s="249" t="s">
        <v>3043</v>
      </c>
      <c r="F1131">
        <v>1129</v>
      </c>
    </row>
    <row r="1132" spans="1:6" x14ac:dyDescent="0.25">
      <c r="A1132" t="s">
        <v>137</v>
      </c>
      <c r="B1132" s="248">
        <v>63.5</v>
      </c>
      <c r="C1132" t="s">
        <v>4114</v>
      </c>
      <c r="D1132" t="s">
        <v>3204</v>
      </c>
      <c r="E1132" s="249" t="s">
        <v>3043</v>
      </c>
      <c r="F1132">
        <v>1130</v>
      </c>
    </row>
    <row r="1133" spans="1:6" x14ac:dyDescent="0.25">
      <c r="A1133" t="s">
        <v>148</v>
      </c>
      <c r="B1133" s="248">
        <v>63.5</v>
      </c>
      <c r="C1133" t="s">
        <v>4115</v>
      </c>
      <c r="D1133" t="s">
        <v>3204</v>
      </c>
      <c r="E1133" s="249" t="s">
        <v>3043</v>
      </c>
      <c r="F1133">
        <v>1131</v>
      </c>
    </row>
    <row r="1134" spans="1:6" x14ac:dyDescent="0.25">
      <c r="A1134" t="s">
        <v>159</v>
      </c>
      <c r="B1134" s="248">
        <v>63.5</v>
      </c>
      <c r="C1134" t="s">
        <v>4116</v>
      </c>
      <c r="D1134" t="s">
        <v>3204</v>
      </c>
      <c r="E1134" s="249" t="s">
        <v>3043</v>
      </c>
      <c r="F1134">
        <v>1132</v>
      </c>
    </row>
    <row r="1135" spans="1:6" x14ac:dyDescent="0.25">
      <c r="A1135" t="s">
        <v>143</v>
      </c>
      <c r="B1135" s="248">
        <v>125</v>
      </c>
      <c r="C1135" t="s">
        <v>4117</v>
      </c>
      <c r="D1135" t="s">
        <v>3204</v>
      </c>
      <c r="E1135" s="249" t="s">
        <v>3043</v>
      </c>
      <c r="F1135">
        <v>1133</v>
      </c>
    </row>
    <row r="1136" spans="1:6" x14ac:dyDescent="0.25">
      <c r="A1136" t="s">
        <v>165</v>
      </c>
      <c r="B1136" s="248">
        <v>125</v>
      </c>
      <c r="C1136" t="s">
        <v>4118</v>
      </c>
      <c r="D1136" t="s">
        <v>3204</v>
      </c>
      <c r="E1136" s="249" t="s">
        <v>3043</v>
      </c>
      <c r="F1136">
        <v>1134</v>
      </c>
    </row>
    <row r="1137" spans="1:6" x14ac:dyDescent="0.25">
      <c r="A1137" t="s">
        <v>153</v>
      </c>
      <c r="B1137" s="248">
        <v>125</v>
      </c>
      <c r="C1137" t="s">
        <v>4119</v>
      </c>
      <c r="D1137" t="s">
        <v>3204</v>
      </c>
      <c r="E1137" s="249" t="s">
        <v>3043</v>
      </c>
      <c r="F1137">
        <v>1135</v>
      </c>
    </row>
    <row r="1138" spans="1:6" x14ac:dyDescent="0.25">
      <c r="A1138" t="s">
        <v>294</v>
      </c>
      <c r="B1138" s="248">
        <v>88.5</v>
      </c>
      <c r="C1138" t="s">
        <v>4120</v>
      </c>
      <c r="D1138" t="s">
        <v>3204</v>
      </c>
      <c r="E1138" s="249" t="s">
        <v>3043</v>
      </c>
      <c r="F1138">
        <v>1136</v>
      </c>
    </row>
    <row r="1139" spans="1:6" x14ac:dyDescent="0.25">
      <c r="A1139" t="s">
        <v>294</v>
      </c>
      <c r="B1139" s="248">
        <v>88.5</v>
      </c>
      <c r="C1139" t="s">
        <v>5028</v>
      </c>
      <c r="D1139" t="s">
        <v>3204</v>
      </c>
      <c r="E1139" s="249" t="s">
        <v>3045</v>
      </c>
      <c r="F1139">
        <v>1137</v>
      </c>
    </row>
    <row r="1140" spans="1:6" x14ac:dyDescent="0.25">
      <c r="A1140" t="s">
        <v>345</v>
      </c>
      <c r="B1140" s="248">
        <v>92</v>
      </c>
      <c r="C1140" t="s">
        <v>4121</v>
      </c>
      <c r="D1140" t="s">
        <v>3204</v>
      </c>
      <c r="E1140" s="249" t="s">
        <v>3045</v>
      </c>
      <c r="F1140">
        <v>1138</v>
      </c>
    </row>
    <row r="1141" spans="1:6" x14ac:dyDescent="0.25">
      <c r="A1141" t="s">
        <v>332</v>
      </c>
      <c r="B1141" s="248">
        <v>92</v>
      </c>
      <c r="C1141" t="s">
        <v>4122</v>
      </c>
      <c r="D1141" t="s">
        <v>3204</v>
      </c>
      <c r="E1141" s="249" t="s">
        <v>3045</v>
      </c>
      <c r="F1141">
        <v>1139</v>
      </c>
    </row>
    <row r="1142" spans="1:6" x14ac:dyDescent="0.25">
      <c r="A1142" t="s">
        <v>295</v>
      </c>
      <c r="B1142" s="248">
        <v>93.5</v>
      </c>
      <c r="C1142" t="s">
        <v>4123</v>
      </c>
      <c r="D1142" t="s">
        <v>3204</v>
      </c>
      <c r="E1142" s="249" t="s">
        <v>3045</v>
      </c>
      <c r="F1142">
        <v>1140</v>
      </c>
    </row>
    <row r="1143" spans="1:6" x14ac:dyDescent="0.25">
      <c r="A1143" t="s">
        <v>297</v>
      </c>
      <c r="B1143" s="248">
        <v>133.5</v>
      </c>
      <c r="C1143" t="s">
        <v>4124</v>
      </c>
      <c r="D1143" t="s">
        <v>3204</v>
      </c>
      <c r="E1143" s="249" t="s">
        <v>3043</v>
      </c>
      <c r="F1143">
        <v>1141</v>
      </c>
    </row>
    <row r="1144" spans="1:6" x14ac:dyDescent="0.25">
      <c r="A1144" t="s">
        <v>297</v>
      </c>
      <c r="B1144" s="248">
        <v>133.5</v>
      </c>
      <c r="C1144" t="s">
        <v>5031</v>
      </c>
      <c r="D1144" t="s">
        <v>3204</v>
      </c>
      <c r="E1144" s="249" t="s">
        <v>3045</v>
      </c>
      <c r="F1144">
        <v>1142</v>
      </c>
    </row>
    <row r="1145" spans="1:6" x14ac:dyDescent="0.25">
      <c r="A1145" t="s">
        <v>299</v>
      </c>
      <c r="B1145" s="248">
        <v>225</v>
      </c>
      <c r="C1145" t="s">
        <v>4125</v>
      </c>
      <c r="D1145" t="s">
        <v>3204</v>
      </c>
      <c r="E1145" s="249" t="s">
        <v>3043</v>
      </c>
      <c r="F1145">
        <v>1143</v>
      </c>
    </row>
    <row r="1146" spans="1:6" x14ac:dyDescent="0.25">
      <c r="A1146" t="s">
        <v>301</v>
      </c>
      <c r="B1146" s="248">
        <v>516</v>
      </c>
      <c r="C1146" t="s">
        <v>4126</v>
      </c>
      <c r="D1146" t="s">
        <v>3204</v>
      </c>
      <c r="E1146" s="249" t="s">
        <v>3043</v>
      </c>
      <c r="F1146">
        <v>1144</v>
      </c>
    </row>
    <row r="1147" spans="1:6" x14ac:dyDescent="0.25">
      <c r="A1147" t="s">
        <v>301</v>
      </c>
      <c r="B1147" s="248">
        <v>516</v>
      </c>
      <c r="C1147" t="s">
        <v>5034</v>
      </c>
      <c r="D1147" t="s">
        <v>3204</v>
      </c>
      <c r="E1147" s="249" t="s">
        <v>3045</v>
      </c>
      <c r="F1147">
        <v>1145</v>
      </c>
    </row>
    <row r="1148" spans="1:6" x14ac:dyDescent="0.25">
      <c r="A1148" t="s">
        <v>313</v>
      </c>
      <c r="B1148" s="248">
        <v>1246</v>
      </c>
      <c r="C1148" t="s">
        <v>4127</v>
      </c>
      <c r="D1148" t="s">
        <v>3204</v>
      </c>
      <c r="E1148" s="249" t="s">
        <v>3045</v>
      </c>
      <c r="F1148">
        <v>1146</v>
      </c>
    </row>
    <row r="1149" spans="1:6" x14ac:dyDescent="0.25">
      <c r="A1149" t="s">
        <v>328</v>
      </c>
      <c r="B1149" s="248">
        <v>2084</v>
      </c>
      <c r="C1149" t="s">
        <v>4128</v>
      </c>
      <c r="D1149" t="s">
        <v>3204</v>
      </c>
      <c r="E1149" s="249" t="s">
        <v>3045</v>
      </c>
      <c r="F1149">
        <v>1147</v>
      </c>
    </row>
    <row r="1150" spans="1:6" x14ac:dyDescent="0.25">
      <c r="A1150" t="s">
        <v>6339</v>
      </c>
      <c r="B1150" s="248">
        <v>889.5</v>
      </c>
      <c r="C1150" t="s">
        <v>5036</v>
      </c>
      <c r="D1150" t="s">
        <v>3204</v>
      </c>
      <c r="E1150" s="249" t="s">
        <v>3045</v>
      </c>
      <c r="F1150">
        <v>1148</v>
      </c>
    </row>
    <row r="1151" spans="1:6" x14ac:dyDescent="0.25">
      <c r="A1151" t="s">
        <v>6338</v>
      </c>
      <c r="B1151" s="248">
        <v>889.5</v>
      </c>
      <c r="C1151" t="s">
        <v>5082</v>
      </c>
      <c r="D1151" t="s">
        <v>3204</v>
      </c>
      <c r="E1151" s="249" t="s">
        <v>3045</v>
      </c>
      <c r="F1151">
        <v>1149</v>
      </c>
    </row>
    <row r="1152" spans="1:6" x14ac:dyDescent="0.25">
      <c r="A1152" t="s">
        <v>932</v>
      </c>
      <c r="B1152" s="248">
        <v>3938</v>
      </c>
      <c r="C1152" t="s">
        <v>4129</v>
      </c>
      <c r="D1152" t="s">
        <v>3204</v>
      </c>
      <c r="E1152" s="249" t="s">
        <v>3045</v>
      </c>
      <c r="F1152">
        <v>1150</v>
      </c>
    </row>
    <row r="1153" spans="1:6" x14ac:dyDescent="0.25">
      <c r="A1153" t="s">
        <v>305</v>
      </c>
      <c r="B1153" s="248">
        <v>5594</v>
      </c>
      <c r="C1153" t="s">
        <v>4130</v>
      </c>
      <c r="D1153" t="s">
        <v>3204</v>
      </c>
      <c r="E1153" s="249" t="s">
        <v>3045</v>
      </c>
      <c r="F1153">
        <v>1151</v>
      </c>
    </row>
    <row r="1154" spans="1:6" x14ac:dyDescent="0.25">
      <c r="A1154" t="s">
        <v>306</v>
      </c>
      <c r="B1154" s="248">
        <v>7737</v>
      </c>
      <c r="C1154" t="s">
        <v>4131</v>
      </c>
      <c r="D1154" t="s">
        <v>3204</v>
      </c>
      <c r="E1154" s="249" t="s">
        <v>3045</v>
      </c>
      <c r="F1154">
        <v>1152</v>
      </c>
    </row>
    <row r="1155" spans="1:6" x14ac:dyDescent="0.25">
      <c r="A1155" t="s">
        <v>356</v>
      </c>
      <c r="B1155" s="248">
        <v>108.5</v>
      </c>
      <c r="C1155" t="s">
        <v>4132</v>
      </c>
      <c r="D1155" t="s">
        <v>3204</v>
      </c>
      <c r="E1155" s="249" t="s">
        <v>3045</v>
      </c>
      <c r="F1155">
        <v>1153</v>
      </c>
    </row>
    <row r="1156" spans="1:6" x14ac:dyDescent="0.25">
      <c r="A1156" t="s">
        <v>1333</v>
      </c>
      <c r="B1156" s="248">
        <v>996.5</v>
      </c>
      <c r="C1156" t="s">
        <v>4133</v>
      </c>
      <c r="D1156" t="s">
        <v>3204</v>
      </c>
      <c r="E1156" s="249" t="s">
        <v>3048</v>
      </c>
      <c r="F1156">
        <v>1154</v>
      </c>
    </row>
    <row r="1157" spans="1:6" x14ac:dyDescent="0.25">
      <c r="A1157" t="s">
        <v>348</v>
      </c>
      <c r="B1157" s="248">
        <v>204</v>
      </c>
      <c r="C1157" t="s">
        <v>4134</v>
      </c>
      <c r="D1157" t="s">
        <v>3204</v>
      </c>
      <c r="E1157" s="249" t="s">
        <v>3045</v>
      </c>
      <c r="F1157">
        <v>1155</v>
      </c>
    </row>
    <row r="1158" spans="1:6" x14ac:dyDescent="0.25">
      <c r="A1158" t="s">
        <v>113</v>
      </c>
      <c r="B1158" s="248">
        <v>8.25</v>
      </c>
      <c r="C1158" t="s">
        <v>4135</v>
      </c>
      <c r="D1158" t="s">
        <v>3204</v>
      </c>
      <c r="E1158" s="249" t="s">
        <v>3043</v>
      </c>
      <c r="F1158">
        <v>1156</v>
      </c>
    </row>
    <row r="1159" spans="1:6" x14ac:dyDescent="0.25">
      <c r="A1159" t="s">
        <v>114</v>
      </c>
      <c r="B1159" s="248">
        <v>8.75</v>
      </c>
      <c r="C1159" t="s">
        <v>4136</v>
      </c>
      <c r="D1159" t="s">
        <v>3204</v>
      </c>
      <c r="E1159" s="249" t="s">
        <v>3043</v>
      </c>
      <c r="F1159">
        <v>1157</v>
      </c>
    </row>
    <row r="1160" spans="1:6" x14ac:dyDescent="0.25">
      <c r="A1160" t="s">
        <v>1510</v>
      </c>
      <c r="B1160" s="248">
        <v>747.5</v>
      </c>
      <c r="C1160" t="s">
        <v>4137</v>
      </c>
      <c r="D1160" t="s">
        <v>3204</v>
      </c>
      <c r="E1160" s="249" t="s">
        <v>3047</v>
      </c>
      <c r="F1160">
        <v>1158</v>
      </c>
    </row>
    <row r="1161" spans="1:6" x14ac:dyDescent="0.25">
      <c r="A1161" t="s">
        <v>126</v>
      </c>
      <c r="B1161" s="248">
        <v>63.5</v>
      </c>
      <c r="C1161" t="s">
        <v>4138</v>
      </c>
      <c r="D1161" t="s">
        <v>3204</v>
      </c>
      <c r="E1161" s="249" t="s">
        <v>3043</v>
      </c>
      <c r="F1161">
        <v>1159</v>
      </c>
    </row>
    <row r="1162" spans="1:6" x14ac:dyDescent="0.25">
      <c r="A1162" t="s">
        <v>2853</v>
      </c>
      <c r="B1162" s="248">
        <v>83.25</v>
      </c>
      <c r="C1162" t="s">
        <v>4139</v>
      </c>
      <c r="D1162" t="s">
        <v>3204</v>
      </c>
      <c r="E1162" s="249" t="s">
        <v>3045</v>
      </c>
      <c r="F1162">
        <v>1160</v>
      </c>
    </row>
    <row r="1163" spans="1:6" x14ac:dyDescent="0.25">
      <c r="A1163" t="s">
        <v>118</v>
      </c>
      <c r="B1163" s="248">
        <v>16.75</v>
      </c>
      <c r="C1163" t="s">
        <v>4140</v>
      </c>
      <c r="D1163" t="s">
        <v>3204</v>
      </c>
      <c r="E1163" s="249" t="s">
        <v>3043</v>
      </c>
      <c r="F1163">
        <v>1161</v>
      </c>
    </row>
    <row r="1164" spans="1:6" x14ac:dyDescent="0.25">
      <c r="A1164" t="s">
        <v>1322</v>
      </c>
      <c r="B1164" s="248">
        <v>416</v>
      </c>
      <c r="C1164" t="s">
        <v>4141</v>
      </c>
      <c r="D1164" t="s">
        <v>3204</v>
      </c>
      <c r="E1164" s="249" t="s">
        <v>3048</v>
      </c>
      <c r="F1164">
        <v>1162</v>
      </c>
    </row>
    <row r="1165" spans="1:6" x14ac:dyDescent="0.25">
      <c r="A1165" t="s">
        <v>156</v>
      </c>
      <c r="B1165" s="248">
        <v>57.5</v>
      </c>
      <c r="C1165" t="s">
        <v>4142</v>
      </c>
      <c r="D1165" t="s">
        <v>3204</v>
      </c>
      <c r="E1165" s="249" t="s">
        <v>3043</v>
      </c>
      <c r="F1165">
        <v>1163</v>
      </c>
    </row>
    <row r="1166" spans="1:6" x14ac:dyDescent="0.25">
      <c r="A1166" t="s">
        <v>2886</v>
      </c>
      <c r="B1166" s="248">
        <v>3239</v>
      </c>
      <c r="C1166" t="s">
        <v>4143</v>
      </c>
      <c r="D1166" t="s">
        <v>3204</v>
      </c>
      <c r="E1166" s="249" t="s">
        <v>3047</v>
      </c>
      <c r="F1166">
        <v>1164</v>
      </c>
    </row>
    <row r="1167" spans="1:6" x14ac:dyDescent="0.25">
      <c r="A1167" t="s">
        <v>186</v>
      </c>
      <c r="B1167" s="248">
        <v>390.5</v>
      </c>
      <c r="C1167" t="s">
        <v>4144</v>
      </c>
      <c r="D1167" t="s">
        <v>3053</v>
      </c>
      <c r="E1167" s="249" t="s">
        <v>3043</v>
      </c>
      <c r="F1167">
        <v>1165</v>
      </c>
    </row>
    <row r="1168" spans="1:6" x14ac:dyDescent="0.25">
      <c r="A1168" t="s">
        <v>2827</v>
      </c>
      <c r="B1168" s="248">
        <v>57.5</v>
      </c>
      <c r="C1168" t="s">
        <v>4142</v>
      </c>
      <c r="D1168" t="s">
        <v>3204</v>
      </c>
      <c r="E1168" s="249" t="s">
        <v>3043</v>
      </c>
      <c r="F1168">
        <v>1166</v>
      </c>
    </row>
    <row r="1169" spans="1:6" x14ac:dyDescent="0.25">
      <c r="A1169" t="s">
        <v>183</v>
      </c>
      <c r="B1169" s="248">
        <v>500.5</v>
      </c>
      <c r="C1169" t="s">
        <v>4145</v>
      </c>
      <c r="D1169" t="s">
        <v>3053</v>
      </c>
      <c r="E1169" s="249" t="s">
        <v>3043</v>
      </c>
      <c r="F1169">
        <v>1167</v>
      </c>
    </row>
    <row r="1170" spans="1:6" x14ac:dyDescent="0.25">
      <c r="A1170" t="s">
        <v>2816</v>
      </c>
      <c r="B1170" s="248">
        <v>63.5</v>
      </c>
      <c r="C1170" t="s">
        <v>4138</v>
      </c>
      <c r="D1170" t="s">
        <v>3204</v>
      </c>
      <c r="E1170" s="249" t="s">
        <v>3043</v>
      </c>
      <c r="F1170">
        <v>1168</v>
      </c>
    </row>
    <row r="1171" spans="1:6" x14ac:dyDescent="0.25">
      <c r="A1171" t="s">
        <v>185</v>
      </c>
      <c r="B1171" s="248">
        <v>390.5</v>
      </c>
      <c r="C1171" t="s">
        <v>4146</v>
      </c>
      <c r="D1171" t="s">
        <v>3053</v>
      </c>
      <c r="E1171" s="249" t="s">
        <v>3043</v>
      </c>
      <c r="F1171">
        <v>1169</v>
      </c>
    </row>
    <row r="1172" spans="1:6" x14ac:dyDescent="0.25">
      <c r="A1172" t="s">
        <v>182</v>
      </c>
      <c r="B1172" s="248">
        <v>500.5</v>
      </c>
      <c r="C1172" t="s">
        <v>4147</v>
      </c>
      <c r="D1172" t="s">
        <v>3053</v>
      </c>
      <c r="E1172" s="249" t="s">
        <v>3043</v>
      </c>
      <c r="F1172">
        <v>1170</v>
      </c>
    </row>
    <row r="1173" spans="1:6" x14ac:dyDescent="0.25">
      <c r="A1173" t="s">
        <v>794</v>
      </c>
      <c r="B1173" s="248">
        <v>88.5</v>
      </c>
      <c r="C1173" t="s">
        <v>4148</v>
      </c>
      <c r="D1173" t="s">
        <v>3204</v>
      </c>
      <c r="E1173" s="249" t="s">
        <v>3045</v>
      </c>
      <c r="F1173">
        <v>1171</v>
      </c>
    </row>
    <row r="1174" spans="1:6" x14ac:dyDescent="0.25">
      <c r="A1174" t="s">
        <v>6350</v>
      </c>
      <c r="B1174" s="248">
        <v>1138</v>
      </c>
      <c r="C1174" t="s">
        <v>6361</v>
      </c>
      <c r="D1174" t="s">
        <v>3204</v>
      </c>
      <c r="E1174" s="249" t="s">
        <v>3001</v>
      </c>
      <c r="F1174">
        <v>1172</v>
      </c>
    </row>
    <row r="1175" spans="1:6" x14ac:dyDescent="0.25">
      <c r="A1175" t="s">
        <v>1005</v>
      </c>
      <c r="B1175" s="248">
        <v>5168</v>
      </c>
      <c r="C1175" t="s">
        <v>4149</v>
      </c>
      <c r="D1175" t="s">
        <v>3053</v>
      </c>
      <c r="E1175" s="249" t="s">
        <v>3045</v>
      </c>
      <c r="F1175">
        <v>1173</v>
      </c>
    </row>
    <row r="1176" spans="1:6" x14ac:dyDescent="0.25">
      <c r="A1176" t="s">
        <v>1747</v>
      </c>
      <c r="B1176" s="248">
        <v>2658</v>
      </c>
      <c r="C1176" t="s">
        <v>4150</v>
      </c>
      <c r="D1176" t="s">
        <v>3204</v>
      </c>
      <c r="E1176" s="249" t="s">
        <v>3048</v>
      </c>
      <c r="F1176">
        <v>1174</v>
      </c>
    </row>
    <row r="1177" spans="1:6" x14ac:dyDescent="0.25">
      <c r="A1177" t="s">
        <v>1430</v>
      </c>
      <c r="B1177" s="248">
        <v>1080</v>
      </c>
      <c r="C1177" t="s">
        <v>4151</v>
      </c>
      <c r="D1177" t="s">
        <v>3204</v>
      </c>
      <c r="E1177" s="249" t="s">
        <v>3048</v>
      </c>
      <c r="F1177">
        <v>1175</v>
      </c>
    </row>
    <row r="1178" spans="1:6" x14ac:dyDescent="0.25">
      <c r="A1178" t="s">
        <v>1335</v>
      </c>
      <c r="B1178" s="248">
        <v>498.5</v>
      </c>
      <c r="C1178" t="s">
        <v>4152</v>
      </c>
      <c r="D1178" t="s">
        <v>3204</v>
      </c>
      <c r="E1178" s="249" t="s">
        <v>3048</v>
      </c>
      <c r="F1178">
        <v>1176</v>
      </c>
    </row>
    <row r="1179" spans="1:6" x14ac:dyDescent="0.25">
      <c r="A1179" t="s">
        <v>1536</v>
      </c>
      <c r="B1179" s="248">
        <v>2658</v>
      </c>
      <c r="C1179" t="s">
        <v>4153</v>
      </c>
      <c r="D1179" t="s">
        <v>3204</v>
      </c>
      <c r="E1179" s="249" t="s">
        <v>3047</v>
      </c>
      <c r="F1179">
        <v>1177</v>
      </c>
    </row>
    <row r="1180" spans="1:6" x14ac:dyDescent="0.25">
      <c r="A1180" t="s">
        <v>6347</v>
      </c>
      <c r="B1180" s="248">
        <v>704.5</v>
      </c>
      <c r="C1180" t="s">
        <v>6358</v>
      </c>
      <c r="D1180" t="s">
        <v>3204</v>
      </c>
      <c r="E1180" s="249" t="s">
        <v>3001</v>
      </c>
      <c r="F1180">
        <v>1178</v>
      </c>
    </row>
    <row r="1181" spans="1:6" x14ac:dyDescent="0.25">
      <c r="A1181" t="s">
        <v>1343</v>
      </c>
      <c r="B1181" s="248">
        <v>541</v>
      </c>
      <c r="C1181" t="s">
        <v>4154</v>
      </c>
      <c r="D1181" t="s">
        <v>3204</v>
      </c>
      <c r="E1181" s="249" t="s">
        <v>3048</v>
      </c>
      <c r="F1181">
        <v>1179</v>
      </c>
    </row>
    <row r="1182" spans="1:6" x14ac:dyDescent="0.25">
      <c r="A1182" t="s">
        <v>1099</v>
      </c>
      <c r="B1182" s="248">
        <v>365.5</v>
      </c>
      <c r="C1182" t="s">
        <v>4155</v>
      </c>
      <c r="D1182" t="s">
        <v>3053</v>
      </c>
      <c r="E1182" s="249" t="s">
        <v>3046</v>
      </c>
      <c r="F1182">
        <v>1180</v>
      </c>
    </row>
    <row r="1183" spans="1:6" x14ac:dyDescent="0.25">
      <c r="A1183" t="s">
        <v>714</v>
      </c>
      <c r="B1183" s="248">
        <v>80.5</v>
      </c>
      <c r="C1183" t="s">
        <v>4156</v>
      </c>
      <c r="D1183" t="s">
        <v>3204</v>
      </c>
      <c r="E1183" s="249" t="s">
        <v>3045</v>
      </c>
      <c r="F1183">
        <v>1181</v>
      </c>
    </row>
    <row r="1184" spans="1:6" x14ac:dyDescent="0.25">
      <c r="A1184" t="s">
        <v>1071</v>
      </c>
      <c r="B1184" s="248">
        <v>1402</v>
      </c>
      <c r="C1184" t="s">
        <v>4157</v>
      </c>
      <c r="D1184" t="s">
        <v>3053</v>
      </c>
      <c r="E1184" s="249" t="s">
        <v>3046</v>
      </c>
      <c r="F1184">
        <v>1182</v>
      </c>
    </row>
    <row r="1185" spans="1:6" x14ac:dyDescent="0.25">
      <c r="A1185" t="s">
        <v>1465</v>
      </c>
      <c r="B1185" s="248">
        <v>990</v>
      </c>
      <c r="C1185" t="s">
        <v>4158</v>
      </c>
      <c r="D1185" t="s">
        <v>3053</v>
      </c>
      <c r="E1185" s="249" t="s">
        <v>3047</v>
      </c>
      <c r="F1185">
        <v>1183</v>
      </c>
    </row>
    <row r="1186" spans="1:6" x14ac:dyDescent="0.25">
      <c r="A1186" t="s">
        <v>1526</v>
      </c>
      <c r="B1186" s="248">
        <v>996.5</v>
      </c>
      <c r="C1186" t="s">
        <v>4159</v>
      </c>
      <c r="D1186" t="s">
        <v>3204</v>
      </c>
      <c r="E1186" s="249" t="s">
        <v>3047</v>
      </c>
      <c r="F1186">
        <v>1184</v>
      </c>
    </row>
    <row r="1187" spans="1:6" x14ac:dyDescent="0.25">
      <c r="A1187" t="s">
        <v>1520</v>
      </c>
      <c r="B1187" s="248">
        <v>1080</v>
      </c>
      <c r="C1187" t="s">
        <v>4160</v>
      </c>
      <c r="D1187" t="s">
        <v>3204</v>
      </c>
      <c r="E1187" s="249" t="s">
        <v>3047</v>
      </c>
      <c r="F1187">
        <v>1185</v>
      </c>
    </row>
    <row r="1188" spans="1:6" x14ac:dyDescent="0.25">
      <c r="A1188" t="s">
        <v>333</v>
      </c>
      <c r="B1188" s="248">
        <v>108.5</v>
      </c>
      <c r="C1188" t="s">
        <v>4161</v>
      </c>
      <c r="D1188" t="s">
        <v>3204</v>
      </c>
      <c r="E1188" s="249" t="s">
        <v>3045</v>
      </c>
      <c r="F1188">
        <v>1186</v>
      </c>
    </row>
    <row r="1189" spans="1:6" x14ac:dyDescent="0.25">
      <c r="A1189" t="s">
        <v>191</v>
      </c>
      <c r="B1189" s="248">
        <v>660.5</v>
      </c>
      <c r="C1189" t="s">
        <v>4162</v>
      </c>
      <c r="D1189" t="s">
        <v>3053</v>
      </c>
      <c r="E1189" s="249" t="s">
        <v>3043</v>
      </c>
      <c r="F1189">
        <v>1187</v>
      </c>
    </row>
    <row r="1190" spans="1:6" x14ac:dyDescent="0.25">
      <c r="A1190" t="s">
        <v>2815</v>
      </c>
      <c r="B1190" s="248">
        <v>80.5</v>
      </c>
      <c r="C1190" t="s">
        <v>4163</v>
      </c>
      <c r="D1190" t="s">
        <v>3204</v>
      </c>
      <c r="E1190" s="249" t="s">
        <v>3043</v>
      </c>
      <c r="F1190">
        <v>1188</v>
      </c>
    </row>
    <row r="1191" spans="1:6" x14ac:dyDescent="0.25">
      <c r="A1191" t="s">
        <v>83</v>
      </c>
      <c r="B1191" s="248">
        <v>461</v>
      </c>
      <c r="C1191" t="s">
        <v>4164</v>
      </c>
      <c r="D1191" t="s">
        <v>3053</v>
      </c>
      <c r="E1191" s="249" t="s">
        <v>3043</v>
      </c>
      <c r="F1191">
        <v>1189</v>
      </c>
    </row>
    <row r="1192" spans="1:6" x14ac:dyDescent="0.25">
      <c r="A1192" t="s">
        <v>1324</v>
      </c>
      <c r="B1192" s="248">
        <v>457.5</v>
      </c>
      <c r="C1192" t="s">
        <v>4165</v>
      </c>
      <c r="D1192" t="s">
        <v>3204</v>
      </c>
      <c r="E1192" s="249" t="s">
        <v>3048</v>
      </c>
      <c r="F1192">
        <v>1190</v>
      </c>
    </row>
    <row r="1193" spans="1:6" x14ac:dyDescent="0.25">
      <c r="A1193" t="s">
        <v>6348</v>
      </c>
      <c r="B1193" s="248">
        <v>814</v>
      </c>
      <c r="C1193" t="s">
        <v>6359</v>
      </c>
      <c r="D1193" t="s">
        <v>3204</v>
      </c>
      <c r="E1193" s="249" t="s">
        <v>3001</v>
      </c>
      <c r="F1193">
        <v>1191</v>
      </c>
    </row>
    <row r="1194" spans="1:6" x14ac:dyDescent="0.25">
      <c r="A1194" t="s">
        <v>1451</v>
      </c>
      <c r="B1194" s="248">
        <v>2658</v>
      </c>
      <c r="C1194" t="s">
        <v>4166</v>
      </c>
      <c r="D1194" t="s">
        <v>3204</v>
      </c>
      <c r="E1194" s="249" t="s">
        <v>3048</v>
      </c>
      <c r="F1194">
        <v>1192</v>
      </c>
    </row>
    <row r="1195" spans="1:6" x14ac:dyDescent="0.25">
      <c r="A1195" t="s">
        <v>6340</v>
      </c>
      <c r="B1195" s="248">
        <v>22.25</v>
      </c>
      <c r="C1195" t="s">
        <v>5038</v>
      </c>
      <c r="D1195" t="s">
        <v>3204</v>
      </c>
      <c r="E1195" s="249" t="s">
        <v>3045</v>
      </c>
      <c r="F1195">
        <v>1193</v>
      </c>
    </row>
    <row r="1196" spans="1:6" x14ac:dyDescent="0.25">
      <c r="A1196" t="s">
        <v>850</v>
      </c>
      <c r="B1196" s="248">
        <v>1186</v>
      </c>
      <c r="C1196" t="s">
        <v>4167</v>
      </c>
      <c r="D1196" t="s">
        <v>3053</v>
      </c>
      <c r="E1196" s="249" t="s">
        <v>3045</v>
      </c>
      <c r="F1196">
        <v>1194</v>
      </c>
    </row>
    <row r="1197" spans="1:6" x14ac:dyDescent="0.25">
      <c r="A1197" t="s">
        <v>1326</v>
      </c>
      <c r="B1197" s="248">
        <v>582</v>
      </c>
      <c r="C1197" t="s">
        <v>4168</v>
      </c>
      <c r="D1197" t="s">
        <v>3204</v>
      </c>
      <c r="E1197" s="249" t="s">
        <v>3048</v>
      </c>
      <c r="F1197">
        <v>1195</v>
      </c>
    </row>
    <row r="1198" spans="1:6" x14ac:dyDescent="0.25">
      <c r="A1198" t="s">
        <v>6349</v>
      </c>
      <c r="B1198" s="248">
        <v>1082</v>
      </c>
      <c r="C1198" t="s">
        <v>6360</v>
      </c>
      <c r="D1198" t="s">
        <v>3204</v>
      </c>
      <c r="E1198" s="249" t="s">
        <v>3001</v>
      </c>
      <c r="F1198">
        <v>1196</v>
      </c>
    </row>
    <row r="1199" spans="1:6" x14ac:dyDescent="0.25">
      <c r="A1199" t="s">
        <v>6345</v>
      </c>
      <c r="B1199" s="248">
        <v>575</v>
      </c>
      <c r="C1199" t="s">
        <v>6356</v>
      </c>
      <c r="D1199" t="s">
        <v>3204</v>
      </c>
      <c r="E1199" s="249" t="s">
        <v>3001</v>
      </c>
      <c r="F1199">
        <v>1197</v>
      </c>
    </row>
    <row r="1200" spans="1:6" x14ac:dyDescent="0.25">
      <c r="A1200" t="s">
        <v>308</v>
      </c>
      <c r="B1200" s="248">
        <v>108.5</v>
      </c>
      <c r="C1200" t="s">
        <v>4169</v>
      </c>
      <c r="D1200" t="s">
        <v>3204</v>
      </c>
      <c r="E1200" s="249" t="s">
        <v>3045</v>
      </c>
      <c r="F1200">
        <v>1198</v>
      </c>
    </row>
    <row r="1201" spans="1:6" x14ac:dyDescent="0.25">
      <c r="A1201" t="s">
        <v>1161</v>
      </c>
      <c r="B1201" s="248">
        <v>1861</v>
      </c>
      <c r="C1201" t="s">
        <v>4170</v>
      </c>
      <c r="D1201" t="s">
        <v>3053</v>
      </c>
      <c r="E1201" s="249" t="s">
        <v>3046</v>
      </c>
      <c r="F1201">
        <v>1199</v>
      </c>
    </row>
    <row r="1202" spans="1:6" x14ac:dyDescent="0.25">
      <c r="A1202" t="s">
        <v>1040</v>
      </c>
      <c r="B1202" s="248">
        <v>8536</v>
      </c>
      <c r="C1202" t="s">
        <v>4171</v>
      </c>
      <c r="D1202" t="s">
        <v>3053</v>
      </c>
      <c r="E1202" s="249" t="s">
        <v>3045</v>
      </c>
      <c r="F1202">
        <v>1200</v>
      </c>
    </row>
    <row r="1203" spans="1:6" x14ac:dyDescent="0.25">
      <c r="A1203" t="s">
        <v>2594</v>
      </c>
      <c r="B1203" s="248">
        <v>304.5</v>
      </c>
      <c r="C1203" t="s">
        <v>4172</v>
      </c>
      <c r="D1203" t="s">
        <v>3056</v>
      </c>
      <c r="E1203" s="249" t="s">
        <v>3028</v>
      </c>
      <c r="F1203">
        <v>1201</v>
      </c>
    </row>
    <row r="1204" spans="1:6" x14ac:dyDescent="0.25">
      <c r="A1204" t="s">
        <v>1323</v>
      </c>
      <c r="B1204" s="248">
        <v>457.5</v>
      </c>
      <c r="C1204" t="s">
        <v>4173</v>
      </c>
      <c r="D1204" t="s">
        <v>3204</v>
      </c>
      <c r="E1204" s="249" t="s">
        <v>3048</v>
      </c>
      <c r="F1204">
        <v>1202</v>
      </c>
    </row>
    <row r="1205" spans="1:6" x14ac:dyDescent="0.25">
      <c r="A1205" t="s">
        <v>930</v>
      </c>
      <c r="B1205" s="248">
        <v>80.5</v>
      </c>
      <c r="C1205" t="s">
        <v>4174</v>
      </c>
      <c r="D1205" t="s">
        <v>3204</v>
      </c>
      <c r="E1205" s="249" t="s">
        <v>3045</v>
      </c>
      <c r="F1205">
        <v>1203</v>
      </c>
    </row>
    <row r="1206" spans="1:6" x14ac:dyDescent="0.25">
      <c r="A1206" t="s">
        <v>1051</v>
      </c>
      <c r="B1206" s="248">
        <v>285.5</v>
      </c>
      <c r="C1206" t="s">
        <v>4175</v>
      </c>
      <c r="D1206" t="s">
        <v>3053</v>
      </c>
      <c r="E1206" s="249" t="s">
        <v>3046</v>
      </c>
      <c r="F1206">
        <v>1204</v>
      </c>
    </row>
    <row r="1207" spans="1:6" x14ac:dyDescent="0.25">
      <c r="A1207" t="s">
        <v>2986</v>
      </c>
      <c r="B1207" s="248">
        <v>88.5</v>
      </c>
      <c r="C1207" t="s">
        <v>4176</v>
      </c>
      <c r="D1207" t="s">
        <v>3204</v>
      </c>
      <c r="E1207" s="249" t="s">
        <v>3043</v>
      </c>
      <c r="F1207">
        <v>1205</v>
      </c>
    </row>
    <row r="1208" spans="1:6" x14ac:dyDescent="0.25">
      <c r="A1208" t="s">
        <v>197</v>
      </c>
      <c r="B1208" s="248">
        <v>1100</v>
      </c>
      <c r="C1208" t="s">
        <v>4177</v>
      </c>
      <c r="D1208" t="s">
        <v>3053</v>
      </c>
      <c r="E1208" s="249" t="s">
        <v>3043</v>
      </c>
      <c r="F1208">
        <v>1206</v>
      </c>
    </row>
    <row r="1209" spans="1:6" x14ac:dyDescent="0.25">
      <c r="A1209" t="s">
        <v>1426</v>
      </c>
      <c r="B1209" s="248">
        <v>1953</v>
      </c>
      <c r="C1209" t="s">
        <v>4178</v>
      </c>
      <c r="D1209" t="s">
        <v>3204</v>
      </c>
      <c r="E1209" s="249" t="s">
        <v>3048</v>
      </c>
      <c r="F1209">
        <v>1207</v>
      </c>
    </row>
    <row r="1210" spans="1:6" x14ac:dyDescent="0.25">
      <c r="A1210" t="s">
        <v>1740</v>
      </c>
      <c r="B1210" s="248">
        <v>2325</v>
      </c>
      <c r="C1210" t="s">
        <v>4179</v>
      </c>
      <c r="D1210" t="s">
        <v>3204</v>
      </c>
      <c r="E1210" s="249" t="s">
        <v>3048</v>
      </c>
      <c r="F1210">
        <v>1208</v>
      </c>
    </row>
    <row r="1211" spans="1:6" x14ac:dyDescent="0.25">
      <c r="A1211" t="s">
        <v>428</v>
      </c>
      <c r="B1211" s="248">
        <v>125</v>
      </c>
      <c r="C1211" t="s">
        <v>4180</v>
      </c>
      <c r="D1211" t="s">
        <v>3204</v>
      </c>
      <c r="E1211" s="249" t="s">
        <v>3043</v>
      </c>
      <c r="F1211">
        <v>1209</v>
      </c>
    </row>
    <row r="1212" spans="1:6" x14ac:dyDescent="0.25">
      <c r="A1212" t="s">
        <v>1759</v>
      </c>
      <c r="B1212" s="248">
        <v>1080</v>
      </c>
      <c r="C1212" t="s">
        <v>4181</v>
      </c>
      <c r="D1212" t="s">
        <v>3204</v>
      </c>
      <c r="E1212" s="249" t="s">
        <v>3048</v>
      </c>
      <c r="F1212">
        <v>1210</v>
      </c>
    </row>
    <row r="1213" spans="1:6" x14ac:dyDescent="0.25">
      <c r="A1213" t="s">
        <v>1796</v>
      </c>
      <c r="B1213" s="248">
        <v>908.5</v>
      </c>
      <c r="C1213" t="s">
        <v>4182</v>
      </c>
      <c r="D1213" t="s">
        <v>3053</v>
      </c>
      <c r="E1213" s="249" t="s">
        <v>3049</v>
      </c>
      <c r="F1213">
        <v>1211</v>
      </c>
    </row>
    <row r="1214" spans="1:6" x14ac:dyDescent="0.25">
      <c r="A1214" t="s">
        <v>557</v>
      </c>
      <c r="B1214" s="248">
        <v>73.5</v>
      </c>
      <c r="C1214" t="s">
        <v>4183</v>
      </c>
      <c r="D1214" t="s">
        <v>3204</v>
      </c>
      <c r="E1214" s="249" t="s">
        <v>3044</v>
      </c>
      <c r="F1214">
        <v>1212</v>
      </c>
    </row>
    <row r="1215" spans="1:6" x14ac:dyDescent="0.25">
      <c r="A1215" t="s">
        <v>1519</v>
      </c>
      <c r="B1215" s="248">
        <v>996.5</v>
      </c>
      <c r="C1215" t="s">
        <v>4184</v>
      </c>
      <c r="D1215" t="s">
        <v>3204</v>
      </c>
      <c r="E1215" s="249" t="s">
        <v>3047</v>
      </c>
      <c r="F1215">
        <v>1213</v>
      </c>
    </row>
    <row r="1216" spans="1:6" x14ac:dyDescent="0.25">
      <c r="A1216" t="s">
        <v>6346</v>
      </c>
      <c r="B1216" s="248">
        <v>631.5</v>
      </c>
      <c r="C1216" t="s">
        <v>6357</v>
      </c>
      <c r="D1216" t="s">
        <v>3204</v>
      </c>
      <c r="E1216" s="249" t="s">
        <v>3001</v>
      </c>
      <c r="F1216">
        <v>1214</v>
      </c>
    </row>
    <row r="1217" spans="1:6" x14ac:dyDescent="0.25">
      <c r="A1217" t="s">
        <v>1433</v>
      </c>
      <c r="B1217" s="248">
        <v>2908</v>
      </c>
      <c r="C1217" t="s">
        <v>4185</v>
      </c>
      <c r="D1217" t="s">
        <v>3204</v>
      </c>
      <c r="E1217" s="249" t="s">
        <v>3048</v>
      </c>
      <c r="F1217">
        <v>1215</v>
      </c>
    </row>
    <row r="1218" spans="1:6" x14ac:dyDescent="0.25">
      <c r="A1218" t="s">
        <v>708</v>
      </c>
      <c r="B1218" s="248">
        <v>57.5</v>
      </c>
      <c r="C1218" t="s">
        <v>4186</v>
      </c>
      <c r="D1218" t="s">
        <v>3204</v>
      </c>
      <c r="E1218" s="249" t="s">
        <v>3045</v>
      </c>
      <c r="F1218">
        <v>1216</v>
      </c>
    </row>
    <row r="1219" spans="1:6" x14ac:dyDescent="0.25">
      <c r="A1219" t="s">
        <v>1748</v>
      </c>
      <c r="B1219" s="248">
        <v>2908</v>
      </c>
      <c r="C1219" t="s">
        <v>4187</v>
      </c>
      <c r="D1219" t="s">
        <v>3204</v>
      </c>
      <c r="E1219" s="249" t="s">
        <v>3048</v>
      </c>
      <c r="F1219">
        <v>1217</v>
      </c>
    </row>
    <row r="1220" spans="1:6" x14ac:dyDescent="0.25">
      <c r="A1220" t="s">
        <v>2865</v>
      </c>
      <c r="B1220" s="248">
        <v>92</v>
      </c>
      <c r="C1220" t="s">
        <v>4188</v>
      </c>
      <c r="D1220" t="s">
        <v>3204</v>
      </c>
      <c r="E1220" s="249" t="s">
        <v>3045</v>
      </c>
      <c r="F1220">
        <v>1218</v>
      </c>
    </row>
    <row r="1221" spans="1:6" x14ac:dyDescent="0.25">
      <c r="A1221" t="s">
        <v>1737</v>
      </c>
      <c r="B1221" s="248">
        <v>747.5</v>
      </c>
      <c r="C1221" t="s">
        <v>4189</v>
      </c>
      <c r="D1221" t="s">
        <v>3204</v>
      </c>
      <c r="E1221" s="249" t="s">
        <v>3048</v>
      </c>
      <c r="F1221">
        <v>1219</v>
      </c>
    </row>
    <row r="1222" spans="1:6" x14ac:dyDescent="0.25">
      <c r="A1222" t="s">
        <v>1509</v>
      </c>
      <c r="B1222" s="248">
        <v>582</v>
      </c>
      <c r="C1222" t="s">
        <v>4190</v>
      </c>
      <c r="D1222" t="s">
        <v>3204</v>
      </c>
      <c r="E1222" s="249" t="s">
        <v>3047</v>
      </c>
      <c r="F1222">
        <v>1220</v>
      </c>
    </row>
    <row r="1223" spans="1:6" x14ac:dyDescent="0.25">
      <c r="A1223" t="s">
        <v>359</v>
      </c>
      <c r="B1223" s="248">
        <v>316</v>
      </c>
      <c r="C1223" t="s">
        <v>4191</v>
      </c>
      <c r="D1223" t="s">
        <v>3204</v>
      </c>
      <c r="E1223" s="249" t="s">
        <v>3045</v>
      </c>
      <c r="F1223">
        <v>1221</v>
      </c>
    </row>
    <row r="1224" spans="1:6" x14ac:dyDescent="0.25">
      <c r="A1224" t="s">
        <v>121</v>
      </c>
      <c r="B1224" s="248">
        <v>59.25</v>
      </c>
      <c r="C1224" t="s">
        <v>4192</v>
      </c>
      <c r="D1224" t="s">
        <v>3204</v>
      </c>
      <c r="E1224" s="249" t="s">
        <v>3043</v>
      </c>
      <c r="F1224">
        <v>1222</v>
      </c>
    </row>
    <row r="1225" spans="1:6" x14ac:dyDescent="0.25">
      <c r="A1225" t="s">
        <v>1346</v>
      </c>
      <c r="B1225" s="248">
        <v>996.5</v>
      </c>
      <c r="C1225" t="s">
        <v>4193</v>
      </c>
      <c r="D1225" t="s">
        <v>3204</v>
      </c>
      <c r="E1225" s="249" t="s">
        <v>3048</v>
      </c>
      <c r="F1225">
        <v>1223</v>
      </c>
    </row>
    <row r="1226" spans="1:6" x14ac:dyDescent="0.25">
      <c r="A1226" t="s">
        <v>802</v>
      </c>
      <c r="B1226" s="248">
        <v>63.5</v>
      </c>
      <c r="C1226" t="s">
        <v>4194</v>
      </c>
      <c r="D1226" t="s">
        <v>3204</v>
      </c>
      <c r="E1226" s="249" t="s">
        <v>3045</v>
      </c>
      <c r="F1226">
        <v>1224</v>
      </c>
    </row>
    <row r="1227" spans="1:6" x14ac:dyDescent="0.25">
      <c r="A1227" t="s">
        <v>1423</v>
      </c>
      <c r="B1227" s="248">
        <v>747.5</v>
      </c>
      <c r="C1227" t="s">
        <v>4195</v>
      </c>
      <c r="D1227" t="s">
        <v>3204</v>
      </c>
      <c r="E1227" s="249" t="s">
        <v>3048</v>
      </c>
      <c r="F1227">
        <v>1225</v>
      </c>
    </row>
    <row r="1228" spans="1:6" x14ac:dyDescent="0.25">
      <c r="A1228" t="s">
        <v>1516</v>
      </c>
      <c r="B1228" s="248">
        <v>3157</v>
      </c>
      <c r="C1228" t="s">
        <v>4196</v>
      </c>
      <c r="D1228" t="s">
        <v>3204</v>
      </c>
      <c r="E1228" s="249" t="s">
        <v>3047</v>
      </c>
      <c r="F1228">
        <v>1226</v>
      </c>
    </row>
    <row r="1229" spans="1:6" x14ac:dyDescent="0.25">
      <c r="A1229" t="s">
        <v>2213</v>
      </c>
      <c r="B1229" s="248">
        <v>1003</v>
      </c>
      <c r="C1229" t="s">
        <v>4197</v>
      </c>
      <c r="D1229" t="s">
        <v>3204</v>
      </c>
      <c r="E1229" s="249" t="s">
        <v>3016</v>
      </c>
      <c r="F1229">
        <v>1227</v>
      </c>
    </row>
    <row r="1230" spans="1:6" x14ac:dyDescent="0.25">
      <c r="A1230" t="s">
        <v>1736</v>
      </c>
      <c r="B1230" s="248">
        <v>582</v>
      </c>
      <c r="C1230" t="s">
        <v>4198</v>
      </c>
      <c r="D1230" t="s">
        <v>3204</v>
      </c>
      <c r="E1230" s="249" t="s">
        <v>3048</v>
      </c>
      <c r="F1230">
        <v>1228</v>
      </c>
    </row>
    <row r="1231" spans="1:6" x14ac:dyDescent="0.25">
      <c r="A1231" t="s">
        <v>874</v>
      </c>
      <c r="B1231" s="248">
        <v>6948</v>
      </c>
      <c r="C1231" t="s">
        <v>4199</v>
      </c>
      <c r="D1231" t="s">
        <v>3053</v>
      </c>
      <c r="E1231" s="249" t="s">
        <v>3045</v>
      </c>
      <c r="F1231">
        <v>1229</v>
      </c>
    </row>
    <row r="1232" spans="1:6" x14ac:dyDescent="0.25">
      <c r="A1232" t="s">
        <v>1518</v>
      </c>
      <c r="B1232" s="248">
        <v>996.5</v>
      </c>
      <c r="C1232" t="s">
        <v>4200</v>
      </c>
      <c r="D1232" t="s">
        <v>3204</v>
      </c>
      <c r="E1232" s="249" t="s">
        <v>3047</v>
      </c>
      <c r="F1232">
        <v>1230</v>
      </c>
    </row>
    <row r="1233" spans="1:6" x14ac:dyDescent="0.25">
      <c r="A1233" t="s">
        <v>2861</v>
      </c>
      <c r="B1233" s="248">
        <v>83.25</v>
      </c>
      <c r="C1233" t="s">
        <v>4201</v>
      </c>
      <c r="D1233" t="s">
        <v>3204</v>
      </c>
      <c r="E1233" s="249" t="s">
        <v>3045</v>
      </c>
      <c r="F1233">
        <v>1231</v>
      </c>
    </row>
    <row r="1234" spans="1:6" x14ac:dyDescent="0.25">
      <c r="A1234" t="s">
        <v>1351</v>
      </c>
      <c r="B1234" s="248">
        <v>541</v>
      </c>
      <c r="C1234" t="s">
        <v>4202</v>
      </c>
      <c r="D1234" t="s">
        <v>3204</v>
      </c>
      <c r="E1234" s="249" t="s">
        <v>3048</v>
      </c>
      <c r="F1234">
        <v>1232</v>
      </c>
    </row>
    <row r="1235" spans="1:6" x14ac:dyDescent="0.25">
      <c r="A1235" t="s">
        <v>670</v>
      </c>
      <c r="B1235" s="248">
        <v>286.5</v>
      </c>
      <c r="C1235" t="s">
        <v>4203</v>
      </c>
      <c r="D1235" t="s">
        <v>3053</v>
      </c>
      <c r="E1235" s="249" t="s">
        <v>3045</v>
      </c>
      <c r="F1235">
        <v>1233</v>
      </c>
    </row>
    <row r="1236" spans="1:6" x14ac:dyDescent="0.25">
      <c r="A1236" t="s">
        <v>1360</v>
      </c>
      <c r="B1236" s="248">
        <v>996.5</v>
      </c>
      <c r="C1236" t="s">
        <v>4204</v>
      </c>
      <c r="D1236" t="s">
        <v>3204</v>
      </c>
      <c r="E1236" s="249" t="s">
        <v>3048</v>
      </c>
      <c r="F1236">
        <v>1234</v>
      </c>
    </row>
    <row r="1237" spans="1:6" x14ac:dyDescent="0.25">
      <c r="A1237" t="s">
        <v>142</v>
      </c>
      <c r="B1237" s="248">
        <v>93.5</v>
      </c>
      <c r="C1237" t="s">
        <v>4205</v>
      </c>
      <c r="D1237" t="s">
        <v>3204</v>
      </c>
      <c r="E1237" s="249" t="s">
        <v>3043</v>
      </c>
      <c r="F1237">
        <v>1235</v>
      </c>
    </row>
    <row r="1238" spans="1:6" x14ac:dyDescent="0.25">
      <c r="A1238" t="s">
        <v>132</v>
      </c>
      <c r="B1238" s="248">
        <v>125</v>
      </c>
      <c r="C1238" t="s">
        <v>4206</v>
      </c>
      <c r="D1238" t="s">
        <v>3204</v>
      </c>
      <c r="E1238" s="249" t="s">
        <v>3043</v>
      </c>
      <c r="F1238">
        <v>1236</v>
      </c>
    </row>
    <row r="1239" spans="1:6" x14ac:dyDescent="0.25">
      <c r="A1239" t="s">
        <v>1001</v>
      </c>
      <c r="B1239" s="248">
        <v>2738</v>
      </c>
      <c r="C1239" t="s">
        <v>4207</v>
      </c>
      <c r="D1239" t="s">
        <v>3053</v>
      </c>
      <c r="E1239" s="249" t="s">
        <v>3045</v>
      </c>
      <c r="F1239">
        <v>1237</v>
      </c>
    </row>
    <row r="1240" spans="1:6" x14ac:dyDescent="0.25">
      <c r="A1240" t="s">
        <v>1548</v>
      </c>
      <c r="B1240" s="248">
        <v>1080</v>
      </c>
      <c r="C1240" t="s">
        <v>4208</v>
      </c>
      <c r="D1240" t="s">
        <v>3204</v>
      </c>
      <c r="E1240" s="249" t="s">
        <v>3047</v>
      </c>
      <c r="F1240">
        <v>1238</v>
      </c>
    </row>
    <row r="1241" spans="1:6" x14ac:dyDescent="0.25">
      <c r="A1241" t="s">
        <v>385</v>
      </c>
      <c r="B1241" s="248">
        <v>1097</v>
      </c>
      <c r="C1241" t="s">
        <v>4209</v>
      </c>
      <c r="D1241" t="s">
        <v>3053</v>
      </c>
      <c r="E1241" s="249" t="s">
        <v>3043</v>
      </c>
      <c r="F1241">
        <v>1239</v>
      </c>
    </row>
    <row r="1242" spans="1:6" x14ac:dyDescent="0.25">
      <c r="A1242" t="s">
        <v>2820</v>
      </c>
      <c r="B1242" s="248">
        <v>88.5</v>
      </c>
      <c r="C1242" t="s">
        <v>4210</v>
      </c>
      <c r="D1242" t="s">
        <v>3204</v>
      </c>
      <c r="E1242" s="249" t="s">
        <v>3043</v>
      </c>
      <c r="F1242">
        <v>1240</v>
      </c>
    </row>
    <row r="1243" spans="1:6" x14ac:dyDescent="0.25">
      <c r="A1243" t="s">
        <v>346</v>
      </c>
      <c r="B1243" s="248">
        <v>108.5</v>
      </c>
      <c r="C1243" t="s">
        <v>4211</v>
      </c>
      <c r="D1243" t="s">
        <v>3204</v>
      </c>
      <c r="E1243" s="249" t="s">
        <v>3045</v>
      </c>
      <c r="F1243">
        <v>1241</v>
      </c>
    </row>
    <row r="1244" spans="1:6" x14ac:dyDescent="0.25">
      <c r="A1244" t="s">
        <v>2982</v>
      </c>
      <c r="B1244" s="248">
        <v>93.5</v>
      </c>
      <c r="C1244" t="s">
        <v>4212</v>
      </c>
      <c r="D1244" t="s">
        <v>3204</v>
      </c>
      <c r="E1244" s="249" t="s">
        <v>3043</v>
      </c>
      <c r="F1244">
        <v>1242</v>
      </c>
    </row>
    <row r="1245" spans="1:6" x14ac:dyDescent="0.25">
      <c r="A1245" t="s">
        <v>1709</v>
      </c>
      <c r="B1245" s="248">
        <v>6187</v>
      </c>
      <c r="C1245" t="s">
        <v>4213</v>
      </c>
      <c r="D1245" t="s">
        <v>3053</v>
      </c>
      <c r="E1245" s="249" t="s">
        <v>3048</v>
      </c>
      <c r="F1245">
        <v>1243</v>
      </c>
    </row>
    <row r="1246" spans="1:6" x14ac:dyDescent="0.25">
      <c r="A1246" t="s">
        <v>713</v>
      </c>
      <c r="B1246" s="248">
        <v>57.5</v>
      </c>
      <c r="C1246" t="s">
        <v>4214</v>
      </c>
      <c r="D1246" t="s">
        <v>3204</v>
      </c>
      <c r="E1246" s="249" t="s">
        <v>3045</v>
      </c>
      <c r="F1246">
        <v>1244</v>
      </c>
    </row>
    <row r="1247" spans="1:6" x14ac:dyDescent="0.25">
      <c r="A1247" t="s">
        <v>696</v>
      </c>
      <c r="B1247" s="248">
        <v>63.5</v>
      </c>
      <c r="C1247" t="s">
        <v>4215</v>
      </c>
      <c r="D1247" t="s">
        <v>3204</v>
      </c>
      <c r="E1247" s="249" t="s">
        <v>3045</v>
      </c>
      <c r="F1247">
        <v>1245</v>
      </c>
    </row>
    <row r="1248" spans="1:6" x14ac:dyDescent="0.25">
      <c r="A1248" t="s">
        <v>2819</v>
      </c>
      <c r="B1248" s="248">
        <v>88.5</v>
      </c>
      <c r="C1248" t="s">
        <v>4216</v>
      </c>
      <c r="D1248" t="s">
        <v>3204</v>
      </c>
      <c r="E1248" s="249" t="s">
        <v>3043</v>
      </c>
      <c r="F1248">
        <v>1246</v>
      </c>
    </row>
    <row r="1249" spans="1:6" x14ac:dyDescent="0.25">
      <c r="A1249" t="s">
        <v>1513</v>
      </c>
      <c r="B1249" s="248">
        <v>1953</v>
      </c>
      <c r="C1249" t="s">
        <v>4217</v>
      </c>
      <c r="D1249" t="s">
        <v>3204</v>
      </c>
      <c r="E1249" s="249" t="s">
        <v>3047</v>
      </c>
      <c r="F1249">
        <v>1247</v>
      </c>
    </row>
    <row r="1250" spans="1:6" x14ac:dyDescent="0.25">
      <c r="A1250" t="s">
        <v>1542</v>
      </c>
      <c r="B1250" s="248">
        <v>1080</v>
      </c>
      <c r="C1250" t="s">
        <v>4218</v>
      </c>
      <c r="D1250" t="s">
        <v>3204</v>
      </c>
      <c r="E1250" s="249" t="s">
        <v>3047</v>
      </c>
      <c r="F1250">
        <v>1248</v>
      </c>
    </row>
    <row r="1251" spans="1:6" x14ac:dyDescent="0.25">
      <c r="A1251" t="s">
        <v>2984</v>
      </c>
      <c r="B1251" s="248">
        <v>80.5</v>
      </c>
      <c r="C1251" t="s">
        <v>4219</v>
      </c>
      <c r="D1251" t="s">
        <v>3204</v>
      </c>
      <c r="E1251" s="249" t="s">
        <v>3043</v>
      </c>
      <c r="F1251">
        <v>1249</v>
      </c>
    </row>
    <row r="1252" spans="1:6" x14ac:dyDescent="0.25">
      <c r="A1252" t="s">
        <v>796</v>
      </c>
      <c r="B1252" s="248">
        <v>57.5</v>
      </c>
      <c r="C1252" t="s">
        <v>4220</v>
      </c>
      <c r="D1252" t="s">
        <v>3204</v>
      </c>
      <c r="E1252" s="249" t="s">
        <v>3045</v>
      </c>
      <c r="F1252">
        <v>1250</v>
      </c>
    </row>
    <row r="1253" spans="1:6" x14ac:dyDescent="0.25">
      <c r="A1253" t="s">
        <v>335</v>
      </c>
      <c r="B1253" s="248">
        <v>204</v>
      </c>
      <c r="C1253" t="s">
        <v>4221</v>
      </c>
      <c r="D1253" t="s">
        <v>3204</v>
      </c>
      <c r="E1253" s="249" t="s">
        <v>3045</v>
      </c>
      <c r="F1253">
        <v>1251</v>
      </c>
    </row>
    <row r="1254" spans="1:6" x14ac:dyDescent="0.25">
      <c r="A1254" t="s">
        <v>792</v>
      </c>
      <c r="B1254" s="248">
        <v>80.5</v>
      </c>
      <c r="C1254" t="s">
        <v>4222</v>
      </c>
      <c r="D1254" t="s">
        <v>3204</v>
      </c>
      <c r="E1254" s="249" t="s">
        <v>3045</v>
      </c>
      <c r="F1254">
        <v>1252</v>
      </c>
    </row>
    <row r="1255" spans="1:6" x14ac:dyDescent="0.25">
      <c r="A1255" t="s">
        <v>1543</v>
      </c>
      <c r="B1255" s="248">
        <v>2658</v>
      </c>
      <c r="C1255" t="s">
        <v>4223</v>
      </c>
      <c r="D1255" t="s">
        <v>3204</v>
      </c>
      <c r="E1255" s="249" t="s">
        <v>3047</v>
      </c>
      <c r="F1255">
        <v>1253</v>
      </c>
    </row>
    <row r="1256" spans="1:6" x14ac:dyDescent="0.25">
      <c r="A1256" t="s">
        <v>124</v>
      </c>
      <c r="B1256" s="248">
        <v>57.5</v>
      </c>
      <c r="C1256" t="s">
        <v>4224</v>
      </c>
      <c r="D1256" t="s">
        <v>3204</v>
      </c>
      <c r="E1256" s="249" t="s">
        <v>3043</v>
      </c>
      <c r="F1256">
        <v>1254</v>
      </c>
    </row>
    <row r="1257" spans="1:6" x14ac:dyDescent="0.25">
      <c r="A1257" t="s">
        <v>58</v>
      </c>
      <c r="B1257" s="248">
        <v>38</v>
      </c>
      <c r="C1257" t="s">
        <v>4225</v>
      </c>
      <c r="D1257" t="s">
        <v>3053</v>
      </c>
      <c r="E1257" s="249" t="s">
        <v>3043</v>
      </c>
      <c r="F1257">
        <v>1255</v>
      </c>
    </row>
    <row r="1258" spans="1:6" x14ac:dyDescent="0.25">
      <c r="A1258" t="s">
        <v>351</v>
      </c>
      <c r="B1258" s="248">
        <v>1246</v>
      </c>
      <c r="C1258" t="s">
        <v>4226</v>
      </c>
      <c r="D1258" t="s">
        <v>3204</v>
      </c>
      <c r="E1258" s="249" t="s">
        <v>3045</v>
      </c>
      <c r="F1258">
        <v>1256</v>
      </c>
    </row>
    <row r="1259" spans="1:6" x14ac:dyDescent="0.25">
      <c r="A1259" t="s">
        <v>1523</v>
      </c>
      <c r="B1259" s="248">
        <v>2908</v>
      </c>
      <c r="C1259" t="s">
        <v>4227</v>
      </c>
      <c r="D1259" t="s">
        <v>3204</v>
      </c>
      <c r="E1259" s="249" t="s">
        <v>3047</v>
      </c>
      <c r="F1259">
        <v>1257</v>
      </c>
    </row>
    <row r="1260" spans="1:6" x14ac:dyDescent="0.25">
      <c r="A1260" t="s">
        <v>1321</v>
      </c>
      <c r="B1260" s="248">
        <v>416</v>
      </c>
      <c r="C1260" t="s">
        <v>4228</v>
      </c>
      <c r="D1260" t="s">
        <v>3204</v>
      </c>
      <c r="E1260" s="249" t="s">
        <v>3047</v>
      </c>
      <c r="F1260">
        <v>1258</v>
      </c>
    </row>
    <row r="1261" spans="1:6" x14ac:dyDescent="0.25">
      <c r="A1261" t="s">
        <v>1334</v>
      </c>
      <c r="B1261" s="248">
        <v>498.5</v>
      </c>
      <c r="C1261" t="s">
        <v>4229</v>
      </c>
      <c r="D1261" t="s">
        <v>3204</v>
      </c>
      <c r="E1261" s="249" t="s">
        <v>3047</v>
      </c>
      <c r="F1261">
        <v>1259</v>
      </c>
    </row>
    <row r="1262" spans="1:6" x14ac:dyDescent="0.25">
      <c r="A1262" t="s">
        <v>799</v>
      </c>
      <c r="B1262" s="248">
        <v>88.5</v>
      </c>
      <c r="C1262" t="s">
        <v>4230</v>
      </c>
      <c r="D1262" t="s">
        <v>3204</v>
      </c>
      <c r="E1262" s="249" t="s">
        <v>3045</v>
      </c>
      <c r="F1262">
        <v>1260</v>
      </c>
    </row>
    <row r="1263" spans="1:6" x14ac:dyDescent="0.25">
      <c r="A1263" t="s">
        <v>352</v>
      </c>
      <c r="B1263" s="248">
        <v>2084</v>
      </c>
      <c r="C1263" t="s">
        <v>4231</v>
      </c>
      <c r="D1263" t="s">
        <v>3204</v>
      </c>
      <c r="E1263" s="249" t="s">
        <v>3045</v>
      </c>
      <c r="F1263">
        <v>1261</v>
      </c>
    </row>
    <row r="1264" spans="1:6" x14ac:dyDescent="0.25">
      <c r="A1264" t="s">
        <v>2851</v>
      </c>
      <c r="B1264" s="248">
        <v>80.5</v>
      </c>
      <c r="C1264" t="s">
        <v>4232</v>
      </c>
      <c r="D1264" t="s">
        <v>3204</v>
      </c>
      <c r="E1264" s="249" t="s">
        <v>3045</v>
      </c>
      <c r="F1264">
        <v>1262</v>
      </c>
    </row>
    <row r="1265" spans="1:6" x14ac:dyDescent="0.25">
      <c r="A1265" t="s">
        <v>803</v>
      </c>
      <c r="B1265" s="248">
        <v>80.5</v>
      </c>
      <c r="C1265" t="s">
        <v>4233</v>
      </c>
      <c r="D1265" t="s">
        <v>3204</v>
      </c>
      <c r="E1265" s="249" t="s">
        <v>3045</v>
      </c>
      <c r="F1265">
        <v>1263</v>
      </c>
    </row>
    <row r="1266" spans="1:6" x14ac:dyDescent="0.25">
      <c r="A1266" t="s">
        <v>1338</v>
      </c>
      <c r="B1266" s="248">
        <v>996.5</v>
      </c>
      <c r="C1266" t="s">
        <v>4234</v>
      </c>
      <c r="D1266" t="s">
        <v>3204</v>
      </c>
      <c r="E1266" s="249" t="s">
        <v>3048</v>
      </c>
      <c r="F1266">
        <v>1264</v>
      </c>
    </row>
    <row r="1267" spans="1:6" x14ac:dyDescent="0.25">
      <c r="A1267" t="s">
        <v>849</v>
      </c>
      <c r="B1267" s="248">
        <v>1186</v>
      </c>
      <c r="C1267" t="s">
        <v>4235</v>
      </c>
      <c r="D1267" t="s">
        <v>3053</v>
      </c>
      <c r="E1267" s="249" t="s">
        <v>3045</v>
      </c>
      <c r="F1267">
        <v>1265</v>
      </c>
    </row>
    <row r="1268" spans="1:6" x14ac:dyDescent="0.25">
      <c r="A1268" t="s">
        <v>1341</v>
      </c>
      <c r="B1268" s="248">
        <v>498.5</v>
      </c>
      <c r="C1268" t="s">
        <v>4236</v>
      </c>
      <c r="D1268" t="s">
        <v>3204</v>
      </c>
      <c r="E1268" s="249" t="s">
        <v>3048</v>
      </c>
      <c r="F1268">
        <v>1266</v>
      </c>
    </row>
    <row r="1269" spans="1:6" x14ac:dyDescent="0.25">
      <c r="A1269" t="s">
        <v>1356</v>
      </c>
      <c r="B1269" s="248">
        <v>541</v>
      </c>
      <c r="C1269" t="s">
        <v>4237</v>
      </c>
      <c r="D1269" t="s">
        <v>3204</v>
      </c>
      <c r="E1269" s="249" t="s">
        <v>3047</v>
      </c>
      <c r="F1269">
        <v>1267</v>
      </c>
    </row>
    <row r="1270" spans="1:6" x14ac:dyDescent="0.25">
      <c r="A1270" t="s">
        <v>2989</v>
      </c>
      <c r="B1270" s="248">
        <v>8536</v>
      </c>
      <c r="C1270" t="s">
        <v>4238</v>
      </c>
      <c r="D1270" t="s">
        <v>3053</v>
      </c>
      <c r="E1270" s="249" t="s">
        <v>3045</v>
      </c>
      <c r="F1270">
        <v>1268</v>
      </c>
    </row>
    <row r="1271" spans="1:6" x14ac:dyDescent="0.25">
      <c r="A1271" t="s">
        <v>2215</v>
      </c>
      <c r="B1271" s="248">
        <v>2267</v>
      </c>
      <c r="C1271" t="s">
        <v>4239</v>
      </c>
      <c r="D1271" t="s">
        <v>3204</v>
      </c>
      <c r="E1271" s="249" t="s">
        <v>3016</v>
      </c>
      <c r="F1271">
        <v>1269</v>
      </c>
    </row>
    <row r="1272" spans="1:6" x14ac:dyDescent="0.25">
      <c r="A1272" t="s">
        <v>431</v>
      </c>
      <c r="B1272" s="248">
        <v>320</v>
      </c>
      <c r="C1272" t="s">
        <v>4240</v>
      </c>
      <c r="D1272" t="s">
        <v>3204</v>
      </c>
      <c r="E1272" s="249" t="s">
        <v>3043</v>
      </c>
      <c r="F1272">
        <v>1270</v>
      </c>
    </row>
    <row r="1273" spans="1:6" x14ac:dyDescent="0.25">
      <c r="A1273" t="s">
        <v>1382</v>
      </c>
      <c r="B1273" s="248">
        <v>1596</v>
      </c>
      <c r="C1273" t="s">
        <v>4241</v>
      </c>
      <c r="D1273" t="s">
        <v>3053</v>
      </c>
      <c r="E1273" s="249" t="s">
        <v>3047</v>
      </c>
      <c r="F1273">
        <v>1271</v>
      </c>
    </row>
    <row r="1274" spans="1:6" x14ac:dyDescent="0.25">
      <c r="A1274" t="s">
        <v>426</v>
      </c>
      <c r="B1274" s="248">
        <v>88.5</v>
      </c>
      <c r="C1274" t="s">
        <v>4242</v>
      </c>
      <c r="D1274" t="s">
        <v>3204</v>
      </c>
      <c r="E1274" s="249" t="s">
        <v>3043</v>
      </c>
      <c r="F1274">
        <v>1272</v>
      </c>
    </row>
    <row r="1275" spans="1:6" x14ac:dyDescent="0.25">
      <c r="A1275" t="s">
        <v>465</v>
      </c>
      <c r="B1275" s="248">
        <v>394.5</v>
      </c>
      <c r="C1275" t="s">
        <v>4243</v>
      </c>
      <c r="D1275" t="s">
        <v>3204</v>
      </c>
      <c r="E1275" s="249" t="s">
        <v>3043</v>
      </c>
      <c r="F1275">
        <v>1273</v>
      </c>
    </row>
    <row r="1276" spans="1:6" x14ac:dyDescent="0.25">
      <c r="A1276" t="s">
        <v>1745</v>
      </c>
      <c r="B1276" s="248">
        <v>996.5</v>
      </c>
      <c r="C1276" t="s">
        <v>4244</v>
      </c>
      <c r="D1276" t="s">
        <v>3204</v>
      </c>
      <c r="E1276" s="249" t="s">
        <v>3048</v>
      </c>
      <c r="F1276">
        <v>1274</v>
      </c>
    </row>
    <row r="1277" spans="1:6" x14ac:dyDescent="0.25">
      <c r="A1277" t="s">
        <v>540</v>
      </c>
      <c r="B1277" s="248">
        <v>63.5</v>
      </c>
      <c r="C1277" t="s">
        <v>4245</v>
      </c>
      <c r="D1277" t="s">
        <v>3204</v>
      </c>
      <c r="E1277" s="249" t="s">
        <v>3044</v>
      </c>
      <c r="F1277">
        <v>1275</v>
      </c>
    </row>
    <row r="1278" spans="1:6" x14ac:dyDescent="0.25">
      <c r="A1278" t="s">
        <v>79</v>
      </c>
      <c r="B1278" s="248">
        <v>321</v>
      </c>
      <c r="C1278" t="s">
        <v>4246</v>
      </c>
      <c r="D1278" t="s">
        <v>3053</v>
      </c>
      <c r="E1278" s="249" t="s">
        <v>3043</v>
      </c>
      <c r="F1278">
        <v>1276</v>
      </c>
    </row>
    <row r="1279" spans="1:6" x14ac:dyDescent="0.25">
      <c r="A1279" t="s">
        <v>131</v>
      </c>
      <c r="B1279" s="248">
        <v>93.5</v>
      </c>
      <c r="C1279" t="s">
        <v>4247</v>
      </c>
      <c r="D1279" t="s">
        <v>3204</v>
      </c>
      <c r="E1279" s="249" t="s">
        <v>3043</v>
      </c>
      <c r="F1279">
        <v>1277</v>
      </c>
    </row>
    <row r="1280" spans="1:6" x14ac:dyDescent="0.25">
      <c r="A1280" t="s">
        <v>2833</v>
      </c>
      <c r="B1280" s="248">
        <v>92</v>
      </c>
      <c r="C1280" t="s">
        <v>4248</v>
      </c>
      <c r="D1280" t="s">
        <v>3204</v>
      </c>
      <c r="E1280" s="249" t="s">
        <v>3043</v>
      </c>
      <c r="F1280">
        <v>1278</v>
      </c>
    </row>
    <row r="1281" spans="1:6" x14ac:dyDescent="0.25">
      <c r="A1281" t="s">
        <v>1442</v>
      </c>
      <c r="B1281" s="248">
        <v>2658</v>
      </c>
      <c r="C1281" t="s">
        <v>4249</v>
      </c>
      <c r="D1281" t="s">
        <v>3204</v>
      </c>
      <c r="E1281" s="249" t="s">
        <v>3048</v>
      </c>
      <c r="F1281">
        <v>1279</v>
      </c>
    </row>
    <row r="1282" spans="1:6" x14ac:dyDescent="0.25">
      <c r="A1282" t="s">
        <v>790</v>
      </c>
      <c r="B1282" s="248">
        <v>88.5</v>
      </c>
      <c r="C1282" t="s">
        <v>4250</v>
      </c>
      <c r="D1282" t="s">
        <v>3204</v>
      </c>
      <c r="E1282" s="249" t="s">
        <v>3045</v>
      </c>
      <c r="F1282">
        <v>1280</v>
      </c>
    </row>
    <row r="1283" spans="1:6" x14ac:dyDescent="0.25">
      <c r="A1283" t="s">
        <v>562</v>
      </c>
      <c r="B1283" s="248">
        <v>63.5</v>
      </c>
      <c r="C1283" t="s">
        <v>4251</v>
      </c>
      <c r="D1283" t="s">
        <v>3204</v>
      </c>
      <c r="E1283" s="249" t="s">
        <v>3044</v>
      </c>
      <c r="F1283">
        <v>1281</v>
      </c>
    </row>
    <row r="1284" spans="1:6" x14ac:dyDescent="0.25">
      <c r="A1284" t="s">
        <v>293</v>
      </c>
      <c r="B1284" s="248">
        <v>80.5</v>
      </c>
      <c r="C1284" t="s">
        <v>4252</v>
      </c>
      <c r="D1284" t="s">
        <v>3204</v>
      </c>
      <c r="E1284" s="249" t="s">
        <v>3043</v>
      </c>
      <c r="F1284">
        <v>1282</v>
      </c>
    </row>
    <row r="1285" spans="1:6" x14ac:dyDescent="0.25">
      <c r="A1285" t="s">
        <v>361</v>
      </c>
      <c r="B1285" s="248">
        <v>1246</v>
      </c>
      <c r="C1285" t="s">
        <v>4253</v>
      </c>
      <c r="D1285" t="s">
        <v>3204</v>
      </c>
      <c r="E1285" s="249" t="s">
        <v>3045</v>
      </c>
      <c r="F1285">
        <v>1283</v>
      </c>
    </row>
    <row r="1286" spans="1:6" x14ac:dyDescent="0.25">
      <c r="A1286" t="s">
        <v>2836</v>
      </c>
      <c r="B1286" s="248">
        <v>1943</v>
      </c>
      <c r="C1286" t="s">
        <v>4254</v>
      </c>
      <c r="D1286" t="s">
        <v>3204</v>
      </c>
      <c r="E1286" s="249" t="s">
        <v>3043</v>
      </c>
      <c r="F1286">
        <v>1284</v>
      </c>
    </row>
    <row r="1287" spans="1:6" x14ac:dyDescent="0.25">
      <c r="A1287" t="s">
        <v>2852</v>
      </c>
      <c r="B1287" s="248">
        <v>4435</v>
      </c>
      <c r="C1287" t="s">
        <v>4255</v>
      </c>
      <c r="D1287" t="s">
        <v>3204</v>
      </c>
      <c r="E1287" s="249" t="s">
        <v>3045</v>
      </c>
      <c r="F1287">
        <v>1285</v>
      </c>
    </row>
    <row r="1288" spans="1:6" x14ac:dyDescent="0.25">
      <c r="A1288" t="s">
        <v>1512</v>
      </c>
      <c r="B1288" s="248">
        <v>1662</v>
      </c>
      <c r="C1288" t="s">
        <v>4256</v>
      </c>
      <c r="D1288" t="s">
        <v>3204</v>
      </c>
      <c r="E1288" s="249" t="s">
        <v>3047</v>
      </c>
      <c r="F1288">
        <v>1286</v>
      </c>
    </row>
    <row r="1289" spans="1:6" x14ac:dyDescent="0.25">
      <c r="A1289" t="s">
        <v>929</v>
      </c>
      <c r="B1289" s="248">
        <v>73.5</v>
      </c>
      <c r="C1289" t="s">
        <v>4257</v>
      </c>
      <c r="D1289" t="s">
        <v>3204</v>
      </c>
      <c r="E1289" s="249" t="s">
        <v>3045</v>
      </c>
      <c r="F1289">
        <v>1287</v>
      </c>
    </row>
    <row r="1290" spans="1:6" x14ac:dyDescent="0.25">
      <c r="A1290" t="s">
        <v>2856</v>
      </c>
      <c r="B1290" s="248">
        <v>83.25</v>
      </c>
      <c r="C1290" t="s">
        <v>4258</v>
      </c>
      <c r="D1290" t="s">
        <v>3204</v>
      </c>
      <c r="E1290" s="249" t="s">
        <v>3045</v>
      </c>
      <c r="F1290">
        <v>1288</v>
      </c>
    </row>
    <row r="1291" spans="1:6" x14ac:dyDescent="0.25">
      <c r="A1291" t="s">
        <v>785</v>
      </c>
      <c r="B1291" s="248">
        <v>63.5</v>
      </c>
      <c r="C1291" t="s">
        <v>4259</v>
      </c>
      <c r="D1291" t="s">
        <v>3204</v>
      </c>
      <c r="E1291" s="249" t="s">
        <v>3045</v>
      </c>
      <c r="F1291">
        <v>1289</v>
      </c>
    </row>
    <row r="1292" spans="1:6" x14ac:dyDescent="0.25">
      <c r="A1292" t="s">
        <v>1327</v>
      </c>
      <c r="B1292" s="248">
        <v>498.5</v>
      </c>
      <c r="C1292" t="s">
        <v>4260</v>
      </c>
      <c r="D1292" t="s">
        <v>3204</v>
      </c>
      <c r="E1292" s="249" t="s">
        <v>3047</v>
      </c>
      <c r="F1292">
        <v>1290</v>
      </c>
    </row>
    <row r="1293" spans="1:6" x14ac:dyDescent="0.25">
      <c r="A1293" t="s">
        <v>2208</v>
      </c>
      <c r="B1293" s="248">
        <v>146.5</v>
      </c>
      <c r="C1293" t="s">
        <v>4261</v>
      </c>
      <c r="D1293" t="s">
        <v>3204</v>
      </c>
      <c r="E1293" s="249" t="s">
        <v>3016</v>
      </c>
      <c r="F1293">
        <v>1291</v>
      </c>
    </row>
    <row r="1294" spans="1:6" x14ac:dyDescent="0.25">
      <c r="A1294" t="s">
        <v>1349</v>
      </c>
      <c r="B1294" s="248">
        <v>541</v>
      </c>
      <c r="C1294" t="s">
        <v>4262</v>
      </c>
      <c r="D1294" t="s">
        <v>3204</v>
      </c>
      <c r="E1294" s="249" t="s">
        <v>3047</v>
      </c>
      <c r="F1294">
        <v>1292</v>
      </c>
    </row>
    <row r="1295" spans="1:6" x14ac:dyDescent="0.25">
      <c r="A1295" t="s">
        <v>1376</v>
      </c>
      <c r="B1295" s="248">
        <v>1129</v>
      </c>
      <c r="C1295" t="s">
        <v>4263</v>
      </c>
      <c r="D1295" t="s">
        <v>3053</v>
      </c>
      <c r="E1295" s="249" t="s">
        <v>3047</v>
      </c>
      <c r="F1295">
        <v>1293</v>
      </c>
    </row>
    <row r="1296" spans="1:6" x14ac:dyDescent="0.25">
      <c r="A1296" t="s">
        <v>2209</v>
      </c>
      <c r="B1296" s="248">
        <v>180</v>
      </c>
      <c r="C1296" t="s">
        <v>4264</v>
      </c>
      <c r="D1296" t="s">
        <v>3204</v>
      </c>
      <c r="E1296" s="249" t="s">
        <v>3016</v>
      </c>
      <c r="F1296">
        <v>1294</v>
      </c>
    </row>
    <row r="1297" spans="1:6" x14ac:dyDescent="0.25">
      <c r="A1297" t="s">
        <v>860</v>
      </c>
      <c r="B1297" s="248">
        <v>1339</v>
      </c>
      <c r="C1297" t="s">
        <v>4265</v>
      </c>
      <c r="D1297" t="s">
        <v>3053</v>
      </c>
      <c r="E1297" s="249" t="s">
        <v>3045</v>
      </c>
      <c r="F1297">
        <v>1295</v>
      </c>
    </row>
    <row r="1298" spans="1:6" x14ac:dyDescent="0.25">
      <c r="A1298" t="s">
        <v>362</v>
      </c>
      <c r="B1298" s="248">
        <v>2084</v>
      </c>
      <c r="C1298" t="s">
        <v>4266</v>
      </c>
      <c r="D1298" t="s">
        <v>3204</v>
      </c>
      <c r="E1298" s="249" t="s">
        <v>3045</v>
      </c>
      <c r="F1298">
        <v>1296</v>
      </c>
    </row>
    <row r="1299" spans="1:6" x14ac:dyDescent="0.25">
      <c r="A1299" t="s">
        <v>1533</v>
      </c>
      <c r="B1299" s="248">
        <v>996.5</v>
      </c>
      <c r="C1299" t="s">
        <v>4267</v>
      </c>
      <c r="D1299" t="s">
        <v>3204</v>
      </c>
      <c r="E1299" s="249" t="s">
        <v>3047</v>
      </c>
      <c r="F1299">
        <v>1297</v>
      </c>
    </row>
    <row r="1300" spans="1:6" x14ac:dyDescent="0.25">
      <c r="A1300" t="s">
        <v>454</v>
      </c>
      <c r="B1300" s="248">
        <v>394.5</v>
      </c>
      <c r="C1300" t="s">
        <v>4268</v>
      </c>
      <c r="D1300" t="s">
        <v>3204</v>
      </c>
      <c r="E1300" s="249" t="s">
        <v>3043</v>
      </c>
      <c r="F1300">
        <v>1298</v>
      </c>
    </row>
    <row r="1301" spans="1:6" x14ac:dyDescent="0.25">
      <c r="A1301" t="s">
        <v>834</v>
      </c>
      <c r="B1301" s="248">
        <v>88.5</v>
      </c>
      <c r="C1301" t="s">
        <v>4269</v>
      </c>
      <c r="D1301" t="s">
        <v>3204</v>
      </c>
      <c r="E1301" s="249" t="s">
        <v>3045</v>
      </c>
      <c r="F1301">
        <v>1299</v>
      </c>
    </row>
    <row r="1302" spans="1:6" x14ac:dyDescent="0.25">
      <c r="A1302" t="s">
        <v>2981</v>
      </c>
      <c r="B1302" s="248">
        <v>88.5</v>
      </c>
      <c r="C1302" t="s">
        <v>4270</v>
      </c>
      <c r="D1302" t="s">
        <v>3204</v>
      </c>
      <c r="E1302" s="249" t="s">
        <v>3043</v>
      </c>
      <c r="F1302">
        <v>1300</v>
      </c>
    </row>
    <row r="1303" spans="1:6" x14ac:dyDescent="0.25">
      <c r="A1303" t="s">
        <v>1739</v>
      </c>
      <c r="B1303" s="248">
        <v>1953</v>
      </c>
      <c r="C1303" t="s">
        <v>4271</v>
      </c>
      <c r="D1303" t="s">
        <v>3204</v>
      </c>
      <c r="E1303" s="249" t="s">
        <v>3048</v>
      </c>
      <c r="F1303">
        <v>1301</v>
      </c>
    </row>
    <row r="1304" spans="1:6" x14ac:dyDescent="0.25">
      <c r="A1304" t="s">
        <v>1031</v>
      </c>
      <c r="B1304" s="248">
        <v>3048</v>
      </c>
      <c r="C1304" t="s">
        <v>4272</v>
      </c>
      <c r="D1304" t="s">
        <v>3053</v>
      </c>
      <c r="E1304" s="249" t="s">
        <v>3045</v>
      </c>
      <c r="F1304">
        <v>1302</v>
      </c>
    </row>
    <row r="1305" spans="1:6" x14ac:dyDescent="0.25">
      <c r="A1305" t="s">
        <v>1753</v>
      </c>
      <c r="B1305" s="248">
        <v>2658</v>
      </c>
      <c r="C1305" t="s">
        <v>4273</v>
      </c>
      <c r="D1305" t="s">
        <v>3204</v>
      </c>
      <c r="E1305" s="249" t="s">
        <v>3048</v>
      </c>
      <c r="F1305">
        <v>1303</v>
      </c>
    </row>
    <row r="1306" spans="1:6" x14ac:dyDescent="0.25">
      <c r="A1306" t="s">
        <v>1281</v>
      </c>
      <c r="B1306" s="248">
        <v>555.5</v>
      </c>
      <c r="C1306" t="s">
        <v>4274</v>
      </c>
      <c r="D1306" t="s">
        <v>3053</v>
      </c>
      <c r="E1306" s="249" t="s">
        <v>3047</v>
      </c>
      <c r="F1306">
        <v>1304</v>
      </c>
    </row>
    <row r="1307" spans="1:6" x14ac:dyDescent="0.25">
      <c r="A1307" t="s">
        <v>1068</v>
      </c>
      <c r="B1307" s="248">
        <v>943.5</v>
      </c>
      <c r="C1307" t="s">
        <v>4275</v>
      </c>
      <c r="D1307" t="s">
        <v>3053</v>
      </c>
      <c r="E1307" s="249" t="s">
        <v>3046</v>
      </c>
      <c r="F1307">
        <v>1305</v>
      </c>
    </row>
    <row r="1308" spans="1:6" x14ac:dyDescent="0.25">
      <c r="A1308" t="s">
        <v>789</v>
      </c>
      <c r="B1308" s="248">
        <v>88.5</v>
      </c>
      <c r="C1308" t="s">
        <v>4276</v>
      </c>
      <c r="D1308" t="s">
        <v>3204</v>
      </c>
      <c r="E1308" s="249" t="s">
        <v>3045</v>
      </c>
      <c r="F1308">
        <v>1306</v>
      </c>
    </row>
    <row r="1309" spans="1:6" x14ac:dyDescent="0.25">
      <c r="A1309" t="s">
        <v>249</v>
      </c>
      <c r="B1309" s="248">
        <v>2535</v>
      </c>
      <c r="C1309" t="s">
        <v>4277</v>
      </c>
      <c r="D1309" t="s">
        <v>3053</v>
      </c>
      <c r="E1309" s="249" t="s">
        <v>3043</v>
      </c>
      <c r="F1309">
        <v>1307</v>
      </c>
    </row>
    <row r="1310" spans="1:6" x14ac:dyDescent="0.25">
      <c r="A1310" t="s">
        <v>252</v>
      </c>
      <c r="B1310" s="248">
        <v>4610</v>
      </c>
      <c r="C1310" t="s">
        <v>4278</v>
      </c>
      <c r="D1310" t="s">
        <v>3053</v>
      </c>
      <c r="E1310" s="249" t="s">
        <v>3043</v>
      </c>
      <c r="F1310">
        <v>1308</v>
      </c>
    </row>
    <row r="1311" spans="1:6" x14ac:dyDescent="0.25">
      <c r="A1311" t="s">
        <v>1605</v>
      </c>
      <c r="B1311" s="248">
        <v>541</v>
      </c>
      <c r="C1311" t="s">
        <v>4279</v>
      </c>
      <c r="D1311" t="s">
        <v>3204</v>
      </c>
      <c r="E1311" s="249" t="s">
        <v>3047</v>
      </c>
      <c r="F1311">
        <v>1309</v>
      </c>
    </row>
    <row r="1312" spans="1:6" x14ac:dyDescent="0.25">
      <c r="A1312" t="s">
        <v>1699</v>
      </c>
      <c r="B1312" s="248">
        <v>1715</v>
      </c>
      <c r="C1312" t="s">
        <v>4280</v>
      </c>
      <c r="D1312" t="s">
        <v>3053</v>
      </c>
      <c r="E1312" s="249" t="s">
        <v>3048</v>
      </c>
      <c r="F1312">
        <v>1310</v>
      </c>
    </row>
    <row r="1313" spans="1:6" x14ac:dyDescent="0.25">
      <c r="A1313" t="s">
        <v>1515</v>
      </c>
      <c r="B1313" s="248">
        <v>2658</v>
      </c>
      <c r="C1313" t="s">
        <v>4281</v>
      </c>
      <c r="D1313" t="s">
        <v>3204</v>
      </c>
      <c r="E1313" s="249" t="s">
        <v>3047</v>
      </c>
      <c r="F1313">
        <v>1311</v>
      </c>
    </row>
    <row r="1314" spans="1:6" x14ac:dyDescent="0.25">
      <c r="A1314" t="s">
        <v>1654</v>
      </c>
      <c r="B1314" s="248">
        <v>4506</v>
      </c>
      <c r="C1314" t="s">
        <v>4282</v>
      </c>
      <c r="D1314" t="s">
        <v>3053</v>
      </c>
      <c r="E1314" s="249" t="s">
        <v>3048</v>
      </c>
      <c r="F1314">
        <v>1312</v>
      </c>
    </row>
    <row r="1315" spans="1:6" x14ac:dyDescent="0.25">
      <c r="A1315" t="s">
        <v>1522</v>
      </c>
      <c r="B1315" s="248">
        <v>2658</v>
      </c>
      <c r="C1315" t="s">
        <v>4283</v>
      </c>
      <c r="D1315" t="s">
        <v>3204</v>
      </c>
      <c r="E1315" s="249" t="s">
        <v>3047</v>
      </c>
      <c r="F1315">
        <v>1313</v>
      </c>
    </row>
    <row r="1316" spans="1:6" x14ac:dyDescent="0.25">
      <c r="A1316" t="s">
        <v>1354</v>
      </c>
      <c r="B1316" s="248">
        <v>498.5</v>
      </c>
      <c r="C1316" t="s">
        <v>4284</v>
      </c>
      <c r="D1316" t="s">
        <v>3204</v>
      </c>
      <c r="E1316" s="249" t="s">
        <v>3047</v>
      </c>
      <c r="F1316">
        <v>1314</v>
      </c>
    </row>
    <row r="1317" spans="1:6" x14ac:dyDescent="0.25">
      <c r="A1317" t="s">
        <v>1072</v>
      </c>
      <c r="B1317" s="248">
        <v>1402</v>
      </c>
      <c r="C1317" t="s">
        <v>4285</v>
      </c>
      <c r="D1317" t="s">
        <v>3053</v>
      </c>
      <c r="E1317" s="249" t="s">
        <v>3046</v>
      </c>
      <c r="F1317">
        <v>1315</v>
      </c>
    </row>
    <row r="1318" spans="1:6" x14ac:dyDescent="0.25">
      <c r="A1318" t="s">
        <v>1563</v>
      </c>
      <c r="B1318" s="248">
        <v>886.5</v>
      </c>
      <c r="C1318" t="s">
        <v>4286</v>
      </c>
      <c r="D1318" t="s">
        <v>3053</v>
      </c>
      <c r="E1318" s="249" t="s">
        <v>3047</v>
      </c>
      <c r="F1318">
        <v>1316</v>
      </c>
    </row>
    <row r="1319" spans="1:6" x14ac:dyDescent="0.25">
      <c r="A1319" t="s">
        <v>432</v>
      </c>
      <c r="B1319" s="248">
        <v>1163</v>
      </c>
      <c r="C1319" t="s">
        <v>4287</v>
      </c>
      <c r="D1319" t="s">
        <v>3204</v>
      </c>
      <c r="E1319" s="249" t="s">
        <v>3043</v>
      </c>
      <c r="F1319">
        <v>1317</v>
      </c>
    </row>
    <row r="1320" spans="1:6" x14ac:dyDescent="0.25">
      <c r="A1320" t="s">
        <v>82</v>
      </c>
      <c r="B1320" s="248">
        <v>461</v>
      </c>
      <c r="C1320" t="s">
        <v>4288</v>
      </c>
      <c r="D1320" t="s">
        <v>3053</v>
      </c>
      <c r="E1320" s="249" t="s">
        <v>3043</v>
      </c>
      <c r="F1320">
        <v>1318</v>
      </c>
    </row>
    <row r="1321" spans="1:6" x14ac:dyDescent="0.25">
      <c r="A1321" t="s">
        <v>429</v>
      </c>
      <c r="B1321" s="248">
        <v>133.5</v>
      </c>
      <c r="C1321" t="s">
        <v>4289</v>
      </c>
      <c r="D1321" t="s">
        <v>3204</v>
      </c>
      <c r="E1321" s="249" t="s">
        <v>3043</v>
      </c>
      <c r="F1321">
        <v>1319</v>
      </c>
    </row>
    <row r="1322" spans="1:6" x14ac:dyDescent="0.25">
      <c r="A1322" t="s">
        <v>830</v>
      </c>
      <c r="B1322" s="248">
        <v>80.5</v>
      </c>
      <c r="C1322" t="s">
        <v>4290</v>
      </c>
      <c r="D1322" t="s">
        <v>3204</v>
      </c>
      <c r="E1322" s="249" t="s">
        <v>3045</v>
      </c>
      <c r="F1322">
        <v>1320</v>
      </c>
    </row>
    <row r="1323" spans="1:6" x14ac:dyDescent="0.25">
      <c r="A1323" t="s">
        <v>1760</v>
      </c>
      <c r="B1323" s="248">
        <v>2658</v>
      </c>
      <c r="C1323" t="s">
        <v>4291</v>
      </c>
      <c r="D1323" t="s">
        <v>3204</v>
      </c>
      <c r="E1323" s="249" t="s">
        <v>3048</v>
      </c>
      <c r="F1323">
        <v>1321</v>
      </c>
    </row>
    <row r="1324" spans="1:6" x14ac:dyDescent="0.25">
      <c r="A1324" t="s">
        <v>2855</v>
      </c>
      <c r="B1324" s="248">
        <v>83.25</v>
      </c>
      <c r="C1324" t="s">
        <v>4292</v>
      </c>
      <c r="D1324" t="s">
        <v>3204</v>
      </c>
      <c r="E1324" s="249" t="s">
        <v>3045</v>
      </c>
      <c r="F1324">
        <v>1322</v>
      </c>
    </row>
    <row r="1325" spans="1:6" x14ac:dyDescent="0.25">
      <c r="A1325" t="s">
        <v>1514</v>
      </c>
      <c r="B1325" s="248">
        <v>2325</v>
      </c>
      <c r="C1325" t="s">
        <v>4293</v>
      </c>
      <c r="D1325" t="s">
        <v>3204</v>
      </c>
      <c r="E1325" s="249" t="s">
        <v>3047</v>
      </c>
      <c r="F1325">
        <v>1323</v>
      </c>
    </row>
    <row r="1326" spans="1:6" x14ac:dyDescent="0.25">
      <c r="A1326" t="s">
        <v>1743</v>
      </c>
      <c r="B1326" s="248">
        <v>541</v>
      </c>
      <c r="C1326" t="s">
        <v>4294</v>
      </c>
      <c r="D1326" t="s">
        <v>3204</v>
      </c>
      <c r="E1326" s="249" t="s">
        <v>3048</v>
      </c>
      <c r="F1326">
        <v>1324</v>
      </c>
    </row>
    <row r="1327" spans="1:6" x14ac:dyDescent="0.25">
      <c r="A1327" t="s">
        <v>1527</v>
      </c>
      <c r="B1327" s="248">
        <v>1080</v>
      </c>
      <c r="C1327" t="s">
        <v>4295</v>
      </c>
      <c r="D1327" t="s">
        <v>3204</v>
      </c>
      <c r="E1327" s="249" t="s">
        <v>3047</v>
      </c>
      <c r="F1327">
        <v>1325</v>
      </c>
    </row>
    <row r="1328" spans="1:6" x14ac:dyDescent="0.25">
      <c r="A1328" t="s">
        <v>433</v>
      </c>
      <c r="B1328" s="248">
        <v>1460</v>
      </c>
      <c r="C1328" t="s">
        <v>4296</v>
      </c>
      <c r="D1328" t="s">
        <v>3204</v>
      </c>
      <c r="E1328" s="249" t="s">
        <v>3043</v>
      </c>
      <c r="F1328">
        <v>1326</v>
      </c>
    </row>
    <row r="1329" spans="1:6" x14ac:dyDescent="0.25">
      <c r="A1329" t="s">
        <v>135</v>
      </c>
      <c r="B1329" s="248">
        <v>57.5</v>
      </c>
      <c r="C1329" t="s">
        <v>4297</v>
      </c>
      <c r="D1329" t="s">
        <v>3204</v>
      </c>
      <c r="E1329" s="249" t="s">
        <v>3043</v>
      </c>
      <c r="F1329">
        <v>1327</v>
      </c>
    </row>
    <row r="1330" spans="1:6" x14ac:dyDescent="0.25">
      <c r="A1330" t="s">
        <v>1550</v>
      </c>
      <c r="B1330" s="248">
        <v>2658</v>
      </c>
      <c r="C1330" t="s">
        <v>4298</v>
      </c>
      <c r="D1330" t="s">
        <v>3204</v>
      </c>
      <c r="E1330" s="249" t="s">
        <v>3047</v>
      </c>
      <c r="F1330">
        <v>1328</v>
      </c>
    </row>
    <row r="1331" spans="1:6" x14ac:dyDescent="0.25">
      <c r="A1331" t="s">
        <v>1537</v>
      </c>
      <c r="B1331" s="248">
        <v>2908</v>
      </c>
      <c r="C1331" t="s">
        <v>4299</v>
      </c>
      <c r="D1331" t="s">
        <v>3204</v>
      </c>
      <c r="E1331" s="249" t="s">
        <v>3047</v>
      </c>
      <c r="F1331">
        <v>1329</v>
      </c>
    </row>
    <row r="1332" spans="1:6" x14ac:dyDescent="0.25">
      <c r="A1332" t="s">
        <v>463</v>
      </c>
      <c r="B1332" s="248">
        <v>125</v>
      </c>
      <c r="C1332" t="s">
        <v>4300</v>
      </c>
      <c r="D1332" t="s">
        <v>3204</v>
      </c>
      <c r="E1332" s="249" t="s">
        <v>3043</v>
      </c>
      <c r="F1332">
        <v>1330</v>
      </c>
    </row>
    <row r="1333" spans="1:6" x14ac:dyDescent="0.25">
      <c r="A1333" t="s">
        <v>2214</v>
      </c>
      <c r="B1333" s="248">
        <v>2267</v>
      </c>
      <c r="C1333" t="s">
        <v>4301</v>
      </c>
      <c r="D1333" t="s">
        <v>3204</v>
      </c>
      <c r="E1333" s="249" t="s">
        <v>3016</v>
      </c>
      <c r="F1333">
        <v>1331</v>
      </c>
    </row>
    <row r="1334" spans="1:6" x14ac:dyDescent="0.25">
      <c r="A1334" t="s">
        <v>779</v>
      </c>
      <c r="B1334" s="248">
        <v>80.5</v>
      </c>
      <c r="C1334" t="s">
        <v>4302</v>
      </c>
      <c r="D1334" t="s">
        <v>3204</v>
      </c>
      <c r="E1334" s="249" t="s">
        <v>3045</v>
      </c>
      <c r="F1334">
        <v>1332</v>
      </c>
    </row>
    <row r="1335" spans="1:6" x14ac:dyDescent="0.25">
      <c r="A1335" t="s">
        <v>123</v>
      </c>
      <c r="B1335" s="248">
        <v>57.5</v>
      </c>
      <c r="C1335" t="s">
        <v>4303</v>
      </c>
      <c r="D1335" t="s">
        <v>3204</v>
      </c>
      <c r="E1335" s="249" t="s">
        <v>3043</v>
      </c>
      <c r="F1335">
        <v>1333</v>
      </c>
    </row>
    <row r="1336" spans="1:6" x14ac:dyDescent="0.25">
      <c r="A1336" t="s">
        <v>1352</v>
      </c>
      <c r="B1336" s="248">
        <v>996.5</v>
      </c>
      <c r="C1336" t="s">
        <v>4304</v>
      </c>
      <c r="D1336" t="s">
        <v>3204</v>
      </c>
      <c r="E1336" s="249" t="s">
        <v>3048</v>
      </c>
      <c r="F1336">
        <v>1334</v>
      </c>
    </row>
    <row r="1337" spans="1:6" x14ac:dyDescent="0.25">
      <c r="A1337" t="s">
        <v>1063</v>
      </c>
      <c r="B1337" s="248">
        <v>541.5</v>
      </c>
      <c r="C1337" t="s">
        <v>4305</v>
      </c>
      <c r="D1337" t="s">
        <v>3053</v>
      </c>
      <c r="E1337" s="249" t="s">
        <v>3046</v>
      </c>
      <c r="F1337">
        <v>1335</v>
      </c>
    </row>
    <row r="1338" spans="1:6" x14ac:dyDescent="0.25">
      <c r="A1338" t="s">
        <v>1353</v>
      </c>
      <c r="B1338" s="248">
        <v>996.5</v>
      </c>
      <c r="C1338" t="s">
        <v>4306</v>
      </c>
      <c r="D1338" t="s">
        <v>3204</v>
      </c>
      <c r="E1338" s="249" t="s">
        <v>3048</v>
      </c>
      <c r="F1338">
        <v>1336</v>
      </c>
    </row>
    <row r="1339" spans="1:6" x14ac:dyDescent="0.25">
      <c r="A1339" t="s">
        <v>440</v>
      </c>
      <c r="B1339" s="248">
        <v>83.25</v>
      </c>
      <c r="C1339" t="s">
        <v>4307</v>
      </c>
      <c r="D1339" t="s">
        <v>3204</v>
      </c>
      <c r="E1339" s="249" t="s">
        <v>3043</v>
      </c>
      <c r="F1339">
        <v>1337</v>
      </c>
    </row>
    <row r="1340" spans="1:6" x14ac:dyDescent="0.25">
      <c r="A1340" t="s">
        <v>427</v>
      </c>
      <c r="B1340" s="248">
        <v>93.5</v>
      </c>
      <c r="C1340" t="s">
        <v>4308</v>
      </c>
      <c r="D1340" t="s">
        <v>3204</v>
      </c>
      <c r="E1340" s="249" t="s">
        <v>3043</v>
      </c>
      <c r="F1340">
        <v>1338</v>
      </c>
    </row>
    <row r="1341" spans="1:6" x14ac:dyDescent="0.25">
      <c r="A1341" t="s">
        <v>706</v>
      </c>
      <c r="B1341" s="248">
        <v>88.5</v>
      </c>
      <c r="C1341" t="s">
        <v>4309</v>
      </c>
      <c r="D1341" t="s">
        <v>3204</v>
      </c>
      <c r="E1341" s="249" t="s">
        <v>3045</v>
      </c>
      <c r="F1341">
        <v>1339</v>
      </c>
    </row>
    <row r="1342" spans="1:6" x14ac:dyDescent="0.25">
      <c r="A1342" t="s">
        <v>1340</v>
      </c>
      <c r="B1342" s="248">
        <v>498.5</v>
      </c>
      <c r="C1342" t="s">
        <v>4310</v>
      </c>
      <c r="D1342" t="s">
        <v>3204</v>
      </c>
      <c r="E1342" s="249" t="s">
        <v>3047</v>
      </c>
      <c r="F1342">
        <v>1340</v>
      </c>
    </row>
    <row r="1343" spans="1:6" x14ac:dyDescent="0.25">
      <c r="A1343" t="s">
        <v>1546</v>
      </c>
      <c r="B1343" s="248">
        <v>541</v>
      </c>
      <c r="C1343" t="s">
        <v>4311</v>
      </c>
      <c r="D1343" t="s">
        <v>3204</v>
      </c>
      <c r="E1343" s="249" t="s">
        <v>3047</v>
      </c>
      <c r="F1343">
        <v>1341</v>
      </c>
    </row>
    <row r="1344" spans="1:6" x14ac:dyDescent="0.25">
      <c r="A1344" t="s">
        <v>1244</v>
      </c>
      <c r="B1344" s="248">
        <v>3848</v>
      </c>
      <c r="C1344" t="s">
        <v>4312</v>
      </c>
      <c r="D1344" t="s">
        <v>3053</v>
      </c>
      <c r="E1344" s="249" t="s">
        <v>3046</v>
      </c>
      <c r="F1344">
        <v>1342</v>
      </c>
    </row>
    <row r="1345" spans="1:6" x14ac:dyDescent="0.25">
      <c r="A1345" t="s">
        <v>1802</v>
      </c>
      <c r="B1345" s="248">
        <v>1414</v>
      </c>
      <c r="C1345" t="s">
        <v>4313</v>
      </c>
      <c r="D1345" t="s">
        <v>3053</v>
      </c>
      <c r="E1345" s="249" t="s">
        <v>3049</v>
      </c>
      <c r="F1345">
        <v>1343</v>
      </c>
    </row>
    <row r="1346" spans="1:6" x14ac:dyDescent="0.25">
      <c r="A1346" t="s">
        <v>2814</v>
      </c>
      <c r="B1346" s="248">
        <v>88.5</v>
      </c>
      <c r="C1346" t="s">
        <v>4314</v>
      </c>
      <c r="D1346" t="s">
        <v>3204</v>
      </c>
      <c r="E1346" s="249" t="s">
        <v>3043</v>
      </c>
      <c r="F1346">
        <v>1344</v>
      </c>
    </row>
    <row r="1347" spans="1:6" x14ac:dyDescent="0.25">
      <c r="A1347" t="s">
        <v>6354</v>
      </c>
      <c r="B1347" s="248">
        <v>5408</v>
      </c>
      <c r="C1347" t="s">
        <v>6365</v>
      </c>
      <c r="D1347" t="s">
        <v>3204</v>
      </c>
      <c r="E1347" s="249" t="s">
        <v>3001</v>
      </c>
      <c r="F1347">
        <v>1345</v>
      </c>
    </row>
    <row r="1348" spans="1:6" x14ac:dyDescent="0.25">
      <c r="A1348" t="s">
        <v>1823</v>
      </c>
      <c r="B1348" s="248">
        <v>498.5</v>
      </c>
      <c r="C1348" t="s">
        <v>4315</v>
      </c>
      <c r="D1348" t="s">
        <v>3204</v>
      </c>
      <c r="E1348" s="249" t="s">
        <v>3049</v>
      </c>
      <c r="F1348">
        <v>1346</v>
      </c>
    </row>
    <row r="1349" spans="1:6" x14ac:dyDescent="0.25">
      <c r="A1349" t="s">
        <v>669</v>
      </c>
      <c r="B1349" s="248">
        <v>286.5</v>
      </c>
      <c r="C1349" t="s">
        <v>4316</v>
      </c>
      <c r="D1349" t="s">
        <v>3053</v>
      </c>
      <c r="E1349" s="249" t="s">
        <v>3045</v>
      </c>
      <c r="F1349">
        <v>1347</v>
      </c>
    </row>
    <row r="1350" spans="1:6" x14ac:dyDescent="0.25">
      <c r="A1350" t="s">
        <v>1566</v>
      </c>
      <c r="B1350" s="248">
        <v>1162</v>
      </c>
      <c r="C1350" t="s">
        <v>4317</v>
      </c>
      <c r="D1350" t="s">
        <v>3053</v>
      </c>
      <c r="E1350" s="249" t="s">
        <v>3047</v>
      </c>
      <c r="F1350">
        <v>1348</v>
      </c>
    </row>
    <row r="1351" spans="1:6" x14ac:dyDescent="0.25">
      <c r="A1351" t="s">
        <v>1108</v>
      </c>
      <c r="B1351" s="248">
        <v>943.5</v>
      </c>
      <c r="C1351" t="s">
        <v>4318</v>
      </c>
      <c r="D1351" t="s">
        <v>3053</v>
      </c>
      <c r="E1351" s="249" t="s">
        <v>3046</v>
      </c>
      <c r="F1351">
        <v>1349</v>
      </c>
    </row>
    <row r="1352" spans="1:6" x14ac:dyDescent="0.25">
      <c r="A1352" t="s">
        <v>1648</v>
      </c>
      <c r="B1352" s="248">
        <v>2257</v>
      </c>
      <c r="C1352" t="s">
        <v>4319</v>
      </c>
      <c r="D1352" t="s">
        <v>3053</v>
      </c>
      <c r="E1352" s="249" t="s">
        <v>3048</v>
      </c>
      <c r="F1352">
        <v>1350</v>
      </c>
    </row>
    <row r="1353" spans="1:6" x14ac:dyDescent="0.25">
      <c r="A1353" t="s">
        <v>2212</v>
      </c>
      <c r="B1353" s="248">
        <v>654.5</v>
      </c>
      <c r="C1353" t="s">
        <v>4320</v>
      </c>
      <c r="D1353" t="s">
        <v>3204</v>
      </c>
      <c r="E1353" s="249" t="s">
        <v>3016</v>
      </c>
      <c r="F1353">
        <v>1351</v>
      </c>
    </row>
    <row r="1354" spans="1:6" x14ac:dyDescent="0.25">
      <c r="A1354" t="s">
        <v>1530</v>
      </c>
      <c r="B1354" s="248">
        <v>2908</v>
      </c>
      <c r="C1354" t="s">
        <v>4321</v>
      </c>
      <c r="D1354" t="s">
        <v>3204</v>
      </c>
      <c r="E1354" s="249" t="s">
        <v>3047</v>
      </c>
      <c r="F1354">
        <v>1352</v>
      </c>
    </row>
    <row r="1355" spans="1:6" x14ac:dyDescent="0.25">
      <c r="A1355" t="s">
        <v>1540</v>
      </c>
      <c r="B1355" s="248">
        <v>996.5</v>
      </c>
      <c r="C1355" t="s">
        <v>4322</v>
      </c>
      <c r="D1355" t="s">
        <v>3204</v>
      </c>
      <c r="E1355" s="249" t="s">
        <v>3047</v>
      </c>
      <c r="F1355">
        <v>1353</v>
      </c>
    </row>
    <row r="1356" spans="1:6" x14ac:dyDescent="0.25">
      <c r="A1356" t="s">
        <v>971</v>
      </c>
      <c r="B1356" s="248">
        <v>9341</v>
      </c>
      <c r="C1356" t="s">
        <v>4323</v>
      </c>
      <c r="D1356" t="s">
        <v>3053</v>
      </c>
      <c r="E1356" s="249" t="s">
        <v>3045</v>
      </c>
      <c r="F1356">
        <v>1354</v>
      </c>
    </row>
    <row r="1357" spans="1:6" x14ac:dyDescent="0.25">
      <c r="A1357" t="s">
        <v>125</v>
      </c>
      <c r="B1357" s="248">
        <v>63.5</v>
      </c>
      <c r="C1357" t="s">
        <v>4324</v>
      </c>
      <c r="D1357" t="s">
        <v>3204</v>
      </c>
      <c r="E1357" s="249" t="s">
        <v>3043</v>
      </c>
      <c r="F1357">
        <v>1355</v>
      </c>
    </row>
    <row r="1358" spans="1:6" x14ac:dyDescent="0.25">
      <c r="A1358" t="s">
        <v>728</v>
      </c>
      <c r="B1358" s="248">
        <v>161</v>
      </c>
      <c r="C1358" t="s">
        <v>4325</v>
      </c>
      <c r="D1358" t="s">
        <v>3053</v>
      </c>
      <c r="E1358" s="249" t="s">
        <v>3045</v>
      </c>
      <c r="F1358">
        <v>1356</v>
      </c>
    </row>
    <row r="1359" spans="1:6" x14ac:dyDescent="0.25">
      <c r="A1359" t="s">
        <v>2978</v>
      </c>
      <c r="B1359" s="248">
        <v>73.5</v>
      </c>
      <c r="C1359" t="s">
        <v>4326</v>
      </c>
      <c r="D1359" t="s">
        <v>3204</v>
      </c>
      <c r="E1359" s="249" t="s">
        <v>3043</v>
      </c>
      <c r="F1359">
        <v>1357</v>
      </c>
    </row>
    <row r="1360" spans="1:6" x14ac:dyDescent="0.25">
      <c r="A1360" t="s">
        <v>1833</v>
      </c>
      <c r="B1360" s="248">
        <v>2071</v>
      </c>
      <c r="C1360" t="s">
        <v>4327</v>
      </c>
      <c r="D1360" t="s">
        <v>3053</v>
      </c>
      <c r="E1360" s="249" t="s">
        <v>3049</v>
      </c>
      <c r="F1360">
        <v>1358</v>
      </c>
    </row>
    <row r="1361" spans="1:6" x14ac:dyDescent="0.25">
      <c r="A1361" t="s">
        <v>1098</v>
      </c>
      <c r="B1361" s="248">
        <v>365.5</v>
      </c>
      <c r="C1361" t="s">
        <v>4328</v>
      </c>
      <c r="D1361" t="s">
        <v>3053</v>
      </c>
      <c r="E1361" s="249" t="s">
        <v>3046</v>
      </c>
      <c r="F1361">
        <v>1359</v>
      </c>
    </row>
    <row r="1362" spans="1:6" x14ac:dyDescent="0.25">
      <c r="A1362" t="s">
        <v>1438</v>
      </c>
      <c r="B1362" s="248">
        <v>2908</v>
      </c>
      <c r="C1362" t="s">
        <v>4329</v>
      </c>
      <c r="D1362" t="s">
        <v>3204</v>
      </c>
      <c r="E1362" s="249" t="s">
        <v>3048</v>
      </c>
      <c r="F1362">
        <v>1360</v>
      </c>
    </row>
    <row r="1363" spans="1:6" x14ac:dyDescent="0.25">
      <c r="A1363" t="s">
        <v>1329</v>
      </c>
      <c r="B1363" s="248">
        <v>541</v>
      </c>
      <c r="C1363" t="s">
        <v>4330</v>
      </c>
      <c r="D1363" t="s">
        <v>3204</v>
      </c>
      <c r="E1363" s="249" t="s">
        <v>3047</v>
      </c>
      <c r="F1363">
        <v>1361</v>
      </c>
    </row>
    <row r="1364" spans="1:6" x14ac:dyDescent="0.25">
      <c r="A1364" t="s">
        <v>1534</v>
      </c>
      <c r="B1364" s="248">
        <v>1080</v>
      </c>
      <c r="C1364" t="s">
        <v>4331</v>
      </c>
      <c r="D1364" t="s">
        <v>3204</v>
      </c>
      <c r="E1364" s="249" t="s">
        <v>3047</v>
      </c>
      <c r="F1364">
        <v>1362</v>
      </c>
    </row>
    <row r="1365" spans="1:6" x14ac:dyDescent="0.25">
      <c r="A1365" t="s">
        <v>536</v>
      </c>
      <c r="B1365" s="248">
        <v>16.75</v>
      </c>
      <c r="C1365" t="s">
        <v>4332</v>
      </c>
      <c r="D1365" t="s">
        <v>3204</v>
      </c>
      <c r="E1365" s="249" t="s">
        <v>3044</v>
      </c>
      <c r="F1365">
        <v>1363</v>
      </c>
    </row>
    <row r="1366" spans="1:6" x14ac:dyDescent="0.25">
      <c r="A1366" t="s">
        <v>322</v>
      </c>
      <c r="B1366" s="248">
        <v>108.5</v>
      </c>
      <c r="C1366" t="s">
        <v>4333</v>
      </c>
      <c r="D1366" t="s">
        <v>3204</v>
      </c>
      <c r="E1366" s="249" t="s">
        <v>3045</v>
      </c>
      <c r="F1366">
        <v>1364</v>
      </c>
    </row>
    <row r="1367" spans="1:6" x14ac:dyDescent="0.25">
      <c r="A1367" t="s">
        <v>859</v>
      </c>
      <c r="B1367" s="248">
        <v>1339</v>
      </c>
      <c r="C1367" t="s">
        <v>4334</v>
      </c>
      <c r="D1367" t="s">
        <v>3053</v>
      </c>
      <c r="E1367" s="249" t="s">
        <v>3045</v>
      </c>
      <c r="F1367">
        <v>1365</v>
      </c>
    </row>
    <row r="1368" spans="1:6" x14ac:dyDescent="0.25">
      <c r="A1368" t="s">
        <v>853</v>
      </c>
      <c r="B1368" s="248">
        <v>1218</v>
      </c>
      <c r="C1368" t="s">
        <v>4335</v>
      </c>
      <c r="D1368" t="s">
        <v>3053</v>
      </c>
      <c r="E1368" s="249" t="s">
        <v>3045</v>
      </c>
      <c r="F1368">
        <v>1366</v>
      </c>
    </row>
    <row r="1369" spans="1:6" x14ac:dyDescent="0.25">
      <c r="A1369" t="s">
        <v>2985</v>
      </c>
      <c r="B1369" s="248">
        <v>88.5</v>
      </c>
      <c r="C1369" t="s">
        <v>4336</v>
      </c>
      <c r="D1369" t="s">
        <v>3204</v>
      </c>
      <c r="E1369" s="249" t="s">
        <v>3043</v>
      </c>
      <c r="F1369">
        <v>1367</v>
      </c>
    </row>
    <row r="1370" spans="1:6" x14ac:dyDescent="0.25">
      <c r="A1370" t="s">
        <v>2867</v>
      </c>
      <c r="B1370" s="248">
        <v>685.5</v>
      </c>
      <c r="C1370" t="s">
        <v>4337</v>
      </c>
      <c r="D1370" t="s">
        <v>3053</v>
      </c>
      <c r="E1370" s="249" t="s">
        <v>3043</v>
      </c>
      <c r="F1370">
        <v>1368</v>
      </c>
    </row>
    <row r="1371" spans="1:6" x14ac:dyDescent="0.25">
      <c r="A1371" t="s">
        <v>1441</v>
      </c>
      <c r="B1371" s="248">
        <v>1080</v>
      </c>
      <c r="C1371" t="s">
        <v>4338</v>
      </c>
      <c r="D1371" t="s">
        <v>3204</v>
      </c>
      <c r="E1371" s="249" t="s">
        <v>3048</v>
      </c>
      <c r="F1371">
        <v>1369</v>
      </c>
    </row>
    <row r="1372" spans="1:6" x14ac:dyDescent="0.25">
      <c r="A1372" t="s">
        <v>1347</v>
      </c>
      <c r="B1372" s="248">
        <v>498.5</v>
      </c>
      <c r="C1372" t="s">
        <v>4339</v>
      </c>
      <c r="D1372" t="s">
        <v>3204</v>
      </c>
      <c r="E1372" s="249" t="s">
        <v>3047</v>
      </c>
      <c r="F1372">
        <v>1370</v>
      </c>
    </row>
    <row r="1373" spans="1:6" x14ac:dyDescent="0.25">
      <c r="A1373" t="s">
        <v>1152</v>
      </c>
      <c r="B1373" s="248">
        <v>1905</v>
      </c>
      <c r="C1373" t="s">
        <v>4340</v>
      </c>
      <c r="D1373" t="s">
        <v>3053</v>
      </c>
      <c r="E1373" s="249" t="s">
        <v>3046</v>
      </c>
      <c r="F1373">
        <v>1371</v>
      </c>
    </row>
    <row r="1374" spans="1:6" x14ac:dyDescent="0.25">
      <c r="A1374" t="s">
        <v>1507</v>
      </c>
      <c r="B1374" s="248">
        <v>457.5</v>
      </c>
      <c r="C1374" t="s">
        <v>4341</v>
      </c>
      <c r="D1374" t="s">
        <v>3204</v>
      </c>
      <c r="E1374" s="249" t="s">
        <v>3047</v>
      </c>
      <c r="F1374">
        <v>1372</v>
      </c>
    </row>
    <row r="1375" spans="1:6" x14ac:dyDescent="0.25">
      <c r="A1375" t="s">
        <v>1572</v>
      </c>
      <c r="B1375" s="248">
        <v>1973</v>
      </c>
      <c r="C1375" t="s">
        <v>4342</v>
      </c>
      <c r="D1375" t="s">
        <v>3053</v>
      </c>
      <c r="E1375" s="249" t="s">
        <v>3047</v>
      </c>
      <c r="F1375">
        <v>1373</v>
      </c>
    </row>
    <row r="1376" spans="1:6" x14ac:dyDescent="0.25">
      <c r="A1376" t="s">
        <v>928</v>
      </c>
      <c r="B1376" s="248">
        <v>63.5</v>
      </c>
      <c r="C1376" t="s">
        <v>4343</v>
      </c>
      <c r="D1376" t="s">
        <v>3204</v>
      </c>
      <c r="E1376" s="249" t="s">
        <v>3045</v>
      </c>
      <c r="F1376">
        <v>1374</v>
      </c>
    </row>
    <row r="1377" spans="1:6" x14ac:dyDescent="0.25">
      <c r="A1377" t="s">
        <v>1004</v>
      </c>
      <c r="B1377" s="248">
        <v>5168</v>
      </c>
      <c r="C1377" t="s">
        <v>4344</v>
      </c>
      <c r="D1377" t="s">
        <v>3053</v>
      </c>
      <c r="E1377" s="249" t="s">
        <v>3045</v>
      </c>
      <c r="F1377">
        <v>1375</v>
      </c>
    </row>
    <row r="1378" spans="1:6" x14ac:dyDescent="0.25">
      <c r="A1378" t="s">
        <v>2846</v>
      </c>
      <c r="B1378" s="248">
        <v>1246</v>
      </c>
      <c r="C1378" t="s">
        <v>4345</v>
      </c>
      <c r="D1378" t="s">
        <v>3204</v>
      </c>
      <c r="E1378" s="249" t="s">
        <v>3043</v>
      </c>
      <c r="F1378">
        <v>1376</v>
      </c>
    </row>
    <row r="1379" spans="1:6" x14ac:dyDescent="0.25">
      <c r="A1379" t="s">
        <v>395</v>
      </c>
      <c r="B1379" s="248">
        <v>3574</v>
      </c>
      <c r="C1379" t="s">
        <v>4346</v>
      </c>
      <c r="D1379" t="s">
        <v>3053</v>
      </c>
      <c r="E1379" s="249" t="s">
        <v>3043</v>
      </c>
      <c r="F1379">
        <v>1377</v>
      </c>
    </row>
    <row r="1380" spans="1:6" x14ac:dyDescent="0.25">
      <c r="A1380" t="s">
        <v>1524</v>
      </c>
      <c r="B1380" s="248">
        <v>3239</v>
      </c>
      <c r="C1380" t="s">
        <v>4347</v>
      </c>
      <c r="D1380" t="s">
        <v>3204</v>
      </c>
      <c r="E1380" s="249" t="s">
        <v>3047</v>
      </c>
      <c r="F1380">
        <v>1378</v>
      </c>
    </row>
    <row r="1381" spans="1:6" x14ac:dyDescent="0.25">
      <c r="A1381" t="s">
        <v>1783</v>
      </c>
      <c r="B1381" s="248">
        <v>11724</v>
      </c>
      <c r="C1381" t="s">
        <v>4348</v>
      </c>
      <c r="D1381" t="s">
        <v>3053</v>
      </c>
      <c r="E1381" s="249" t="s">
        <v>3048</v>
      </c>
      <c r="F1381">
        <v>1379</v>
      </c>
    </row>
    <row r="1382" spans="1:6" x14ac:dyDescent="0.25">
      <c r="A1382" t="s">
        <v>6352</v>
      </c>
      <c r="B1382" s="248">
        <v>4509</v>
      </c>
      <c r="C1382" t="s">
        <v>6363</v>
      </c>
      <c r="D1382" t="s">
        <v>3204</v>
      </c>
      <c r="E1382" s="249" t="s">
        <v>3001</v>
      </c>
      <c r="F1382">
        <v>1380</v>
      </c>
    </row>
    <row r="1383" spans="1:6" x14ac:dyDescent="0.25">
      <c r="A1383" t="s">
        <v>441</v>
      </c>
      <c r="B1383" s="248">
        <v>92</v>
      </c>
      <c r="C1383" t="s">
        <v>4349</v>
      </c>
      <c r="D1383" t="s">
        <v>3204</v>
      </c>
      <c r="E1383" s="249" t="s">
        <v>3043</v>
      </c>
      <c r="F1383">
        <v>1381</v>
      </c>
    </row>
    <row r="1384" spans="1:6" x14ac:dyDescent="0.25">
      <c r="A1384" t="s">
        <v>1628</v>
      </c>
      <c r="B1384" s="248">
        <v>720.5</v>
      </c>
      <c r="C1384" t="s">
        <v>4350</v>
      </c>
      <c r="D1384" t="s">
        <v>3053</v>
      </c>
      <c r="E1384" s="249" t="s">
        <v>3048</v>
      </c>
      <c r="F1384">
        <v>1382</v>
      </c>
    </row>
    <row r="1385" spans="1:6" x14ac:dyDescent="0.25">
      <c r="A1385" t="s">
        <v>568</v>
      </c>
      <c r="B1385" s="248">
        <v>125</v>
      </c>
      <c r="C1385" t="s">
        <v>4351</v>
      </c>
      <c r="D1385" t="s">
        <v>3204</v>
      </c>
      <c r="E1385" s="249" t="s">
        <v>3044</v>
      </c>
      <c r="F1385">
        <v>1383</v>
      </c>
    </row>
    <row r="1386" spans="1:6" x14ac:dyDescent="0.25">
      <c r="A1386" t="s">
        <v>705</v>
      </c>
      <c r="B1386" s="248">
        <v>80.5</v>
      </c>
      <c r="C1386" t="s">
        <v>4352</v>
      </c>
      <c r="D1386" t="s">
        <v>3204</v>
      </c>
      <c r="E1386" s="249" t="s">
        <v>3045</v>
      </c>
      <c r="F1386">
        <v>1384</v>
      </c>
    </row>
    <row r="1387" spans="1:6" x14ac:dyDescent="0.25">
      <c r="A1387" t="s">
        <v>54</v>
      </c>
      <c r="B1387" s="248">
        <v>38</v>
      </c>
      <c r="C1387" t="s">
        <v>4353</v>
      </c>
      <c r="D1387" t="s">
        <v>3053</v>
      </c>
      <c r="E1387" s="249" t="s">
        <v>3043</v>
      </c>
      <c r="F1387">
        <v>1385</v>
      </c>
    </row>
    <row r="1388" spans="1:6" x14ac:dyDescent="0.25">
      <c r="A1388" t="s">
        <v>1436</v>
      </c>
      <c r="B1388" s="248">
        <v>1080</v>
      </c>
      <c r="C1388" t="s">
        <v>4354</v>
      </c>
      <c r="D1388" t="s">
        <v>3204</v>
      </c>
      <c r="E1388" s="249" t="s">
        <v>3048</v>
      </c>
      <c r="F1388">
        <v>1386</v>
      </c>
    </row>
    <row r="1389" spans="1:6" x14ac:dyDescent="0.25">
      <c r="A1389" t="s">
        <v>1385</v>
      </c>
      <c r="B1389" s="248">
        <v>2438</v>
      </c>
      <c r="C1389" t="s">
        <v>4355</v>
      </c>
      <c r="D1389" t="s">
        <v>3053</v>
      </c>
      <c r="E1389" s="249" t="s">
        <v>3047</v>
      </c>
      <c r="F1389">
        <v>1387</v>
      </c>
    </row>
    <row r="1390" spans="1:6" x14ac:dyDescent="0.25">
      <c r="A1390" t="s">
        <v>2211</v>
      </c>
      <c r="B1390" s="248">
        <v>369</v>
      </c>
      <c r="C1390" t="s">
        <v>4356</v>
      </c>
      <c r="D1390" t="s">
        <v>3204</v>
      </c>
      <c r="E1390" s="249" t="s">
        <v>3016</v>
      </c>
      <c r="F1390">
        <v>1388</v>
      </c>
    </row>
    <row r="1391" spans="1:6" x14ac:dyDescent="0.25">
      <c r="A1391" t="s">
        <v>338</v>
      </c>
      <c r="B1391" s="248">
        <v>1246</v>
      </c>
      <c r="C1391" t="s">
        <v>4357</v>
      </c>
      <c r="D1391" t="s">
        <v>3204</v>
      </c>
      <c r="E1391" s="249" t="s">
        <v>3045</v>
      </c>
      <c r="F1391">
        <v>1389</v>
      </c>
    </row>
    <row r="1392" spans="1:6" x14ac:dyDescent="0.25">
      <c r="A1392" t="s">
        <v>2888</v>
      </c>
      <c r="B1392" s="248">
        <v>5243</v>
      </c>
      <c r="C1392" t="s">
        <v>4358</v>
      </c>
      <c r="D1392" t="s">
        <v>3053</v>
      </c>
      <c r="E1392" s="249" t="s">
        <v>3048</v>
      </c>
      <c r="F1392">
        <v>1390</v>
      </c>
    </row>
    <row r="1393" spans="1:6" x14ac:dyDescent="0.25">
      <c r="A1393" t="s">
        <v>1273</v>
      </c>
      <c r="B1393" s="248">
        <v>329</v>
      </c>
      <c r="C1393" t="s">
        <v>4359</v>
      </c>
      <c r="D1393" t="s">
        <v>3053</v>
      </c>
      <c r="E1393" s="249" t="s">
        <v>3047</v>
      </c>
      <c r="F1393">
        <v>1391</v>
      </c>
    </row>
    <row r="1394" spans="1:6" x14ac:dyDescent="0.25">
      <c r="A1394" t="s">
        <v>793</v>
      </c>
      <c r="B1394" s="248">
        <v>80.5</v>
      </c>
      <c r="C1394" t="s">
        <v>4360</v>
      </c>
      <c r="D1394" t="s">
        <v>3204</v>
      </c>
      <c r="E1394" s="249" t="s">
        <v>3045</v>
      </c>
      <c r="F1394">
        <v>1392</v>
      </c>
    </row>
    <row r="1395" spans="1:6" x14ac:dyDescent="0.25">
      <c r="A1395" t="s">
        <v>2847</v>
      </c>
      <c r="B1395" s="248">
        <v>88.5</v>
      </c>
      <c r="C1395" t="s">
        <v>4361</v>
      </c>
      <c r="D1395" t="s">
        <v>3204</v>
      </c>
      <c r="E1395" s="249" t="s">
        <v>3044</v>
      </c>
      <c r="F1395">
        <v>1393</v>
      </c>
    </row>
    <row r="1396" spans="1:6" x14ac:dyDescent="0.25">
      <c r="A1396" t="s">
        <v>1450</v>
      </c>
      <c r="B1396" s="248">
        <v>1080</v>
      </c>
      <c r="C1396" t="s">
        <v>4362</v>
      </c>
      <c r="D1396" t="s">
        <v>3204</v>
      </c>
      <c r="E1396" s="249" t="s">
        <v>3048</v>
      </c>
      <c r="F1396">
        <v>1394</v>
      </c>
    </row>
    <row r="1397" spans="1:6" x14ac:dyDescent="0.25">
      <c r="A1397" t="s">
        <v>2863</v>
      </c>
      <c r="B1397" s="248">
        <v>83.25</v>
      </c>
      <c r="C1397" t="s">
        <v>4363</v>
      </c>
      <c r="D1397" t="s">
        <v>3204</v>
      </c>
      <c r="E1397" s="249" t="s">
        <v>3045</v>
      </c>
      <c r="F1397">
        <v>1395</v>
      </c>
    </row>
    <row r="1398" spans="1:6" x14ac:dyDescent="0.25">
      <c r="A1398" t="s">
        <v>438</v>
      </c>
      <c r="B1398" s="248">
        <v>6157</v>
      </c>
      <c r="C1398" t="s">
        <v>4364</v>
      </c>
      <c r="D1398" t="s">
        <v>3204</v>
      </c>
      <c r="E1398" s="249" t="s">
        <v>3043</v>
      </c>
      <c r="F1398">
        <v>1396</v>
      </c>
    </row>
    <row r="1399" spans="1:6" x14ac:dyDescent="0.25">
      <c r="A1399" t="s">
        <v>1002</v>
      </c>
      <c r="B1399" s="248">
        <v>5098</v>
      </c>
      <c r="C1399" t="s">
        <v>4365</v>
      </c>
      <c r="D1399" t="s">
        <v>3053</v>
      </c>
      <c r="E1399" s="249" t="s">
        <v>3045</v>
      </c>
      <c r="F1399">
        <v>1397</v>
      </c>
    </row>
    <row r="1400" spans="1:6" x14ac:dyDescent="0.25">
      <c r="A1400" t="s">
        <v>233</v>
      </c>
      <c r="B1400" s="248">
        <v>396</v>
      </c>
      <c r="C1400" t="s">
        <v>4366</v>
      </c>
      <c r="D1400" t="s">
        <v>3053</v>
      </c>
      <c r="E1400" s="249" t="s">
        <v>3043</v>
      </c>
      <c r="F1400">
        <v>1398</v>
      </c>
    </row>
    <row r="1401" spans="1:6" x14ac:dyDescent="0.25">
      <c r="A1401" t="s">
        <v>434</v>
      </c>
      <c r="B1401" s="248">
        <v>1579</v>
      </c>
      <c r="C1401" t="s">
        <v>4367</v>
      </c>
      <c r="D1401" t="s">
        <v>3204</v>
      </c>
      <c r="E1401" s="249" t="s">
        <v>3043</v>
      </c>
      <c r="F1401">
        <v>1399</v>
      </c>
    </row>
    <row r="1402" spans="1:6" x14ac:dyDescent="0.25">
      <c r="A1402" t="s">
        <v>961</v>
      </c>
      <c r="B1402" s="248">
        <v>2738</v>
      </c>
      <c r="C1402" t="s">
        <v>4368</v>
      </c>
      <c r="D1402" t="s">
        <v>3053</v>
      </c>
      <c r="E1402" s="249" t="s">
        <v>3045</v>
      </c>
      <c r="F1402">
        <v>1400</v>
      </c>
    </row>
    <row r="1403" spans="1:6" x14ac:dyDescent="0.25">
      <c r="A1403" t="s">
        <v>330</v>
      </c>
      <c r="B1403" s="248">
        <v>3150</v>
      </c>
      <c r="C1403" t="s">
        <v>4369</v>
      </c>
      <c r="D1403" t="s">
        <v>3204</v>
      </c>
      <c r="E1403" s="249" t="s">
        <v>3045</v>
      </c>
      <c r="F1403">
        <v>1401</v>
      </c>
    </row>
    <row r="1404" spans="1:6" x14ac:dyDescent="0.25">
      <c r="A1404" t="s">
        <v>443</v>
      </c>
      <c r="B1404" s="248">
        <v>204</v>
      </c>
      <c r="C1404" t="s">
        <v>4370</v>
      </c>
      <c r="D1404" t="s">
        <v>3204</v>
      </c>
      <c r="E1404" s="249" t="s">
        <v>3043</v>
      </c>
      <c r="F1404">
        <v>1402</v>
      </c>
    </row>
    <row r="1405" spans="1:6" x14ac:dyDescent="0.25">
      <c r="A1405" t="s">
        <v>831</v>
      </c>
      <c r="B1405" s="248">
        <v>80.5</v>
      </c>
      <c r="C1405" t="s">
        <v>4371</v>
      </c>
      <c r="D1405" t="s">
        <v>3204</v>
      </c>
      <c r="E1405" s="249" t="s">
        <v>3045</v>
      </c>
      <c r="F1405">
        <v>1403</v>
      </c>
    </row>
    <row r="1406" spans="1:6" x14ac:dyDescent="0.25">
      <c r="A1406" t="s">
        <v>1428</v>
      </c>
      <c r="B1406" s="248">
        <v>2658</v>
      </c>
      <c r="C1406" t="s">
        <v>4372</v>
      </c>
      <c r="D1406" t="s">
        <v>3204</v>
      </c>
      <c r="E1406" s="249" t="s">
        <v>3048</v>
      </c>
      <c r="F1406">
        <v>1404</v>
      </c>
    </row>
    <row r="1407" spans="1:6" x14ac:dyDescent="0.25">
      <c r="A1407" t="s">
        <v>1359</v>
      </c>
      <c r="B1407" s="248">
        <v>996.5</v>
      </c>
      <c r="C1407" t="s">
        <v>4373</v>
      </c>
      <c r="D1407" t="s">
        <v>3204</v>
      </c>
      <c r="E1407" s="249" t="s">
        <v>3048</v>
      </c>
      <c r="F1407">
        <v>1405</v>
      </c>
    </row>
    <row r="1408" spans="1:6" x14ac:dyDescent="0.25">
      <c r="A1408" t="s">
        <v>2862</v>
      </c>
      <c r="B1408" s="248">
        <v>92</v>
      </c>
      <c r="C1408" t="s">
        <v>4374</v>
      </c>
      <c r="D1408" t="s">
        <v>3204</v>
      </c>
      <c r="E1408" s="249" t="s">
        <v>3045</v>
      </c>
      <c r="F1408">
        <v>1406</v>
      </c>
    </row>
    <row r="1409" spans="1:6" x14ac:dyDescent="0.25">
      <c r="A1409" t="s">
        <v>445</v>
      </c>
      <c r="B1409" s="248">
        <v>394.5</v>
      </c>
      <c r="C1409" t="s">
        <v>4375</v>
      </c>
      <c r="D1409" t="s">
        <v>3204</v>
      </c>
      <c r="E1409" s="249" t="s">
        <v>3043</v>
      </c>
      <c r="F1409">
        <v>1407</v>
      </c>
    </row>
    <row r="1410" spans="1:6" x14ac:dyDescent="0.25">
      <c r="A1410" t="s">
        <v>1651</v>
      </c>
      <c r="B1410" s="248">
        <v>2800</v>
      </c>
      <c r="C1410" t="s">
        <v>4376</v>
      </c>
      <c r="D1410" t="s">
        <v>3053</v>
      </c>
      <c r="E1410" s="249" t="s">
        <v>3048</v>
      </c>
      <c r="F1410">
        <v>1408</v>
      </c>
    </row>
    <row r="1411" spans="1:6" x14ac:dyDescent="0.25">
      <c r="A1411" t="s">
        <v>1383</v>
      </c>
      <c r="B1411" s="248">
        <v>1596</v>
      </c>
      <c r="C1411" t="s">
        <v>4377</v>
      </c>
      <c r="D1411" t="s">
        <v>3053</v>
      </c>
      <c r="E1411" s="249" t="s">
        <v>3047</v>
      </c>
      <c r="F1411">
        <v>1409</v>
      </c>
    </row>
    <row r="1412" spans="1:6" x14ac:dyDescent="0.25">
      <c r="A1412" t="s">
        <v>1839</v>
      </c>
      <c r="B1412" s="248">
        <v>6789</v>
      </c>
      <c r="C1412" t="s">
        <v>4378</v>
      </c>
      <c r="D1412" t="s">
        <v>3053</v>
      </c>
      <c r="E1412" s="249" t="s">
        <v>3049</v>
      </c>
      <c r="F1412">
        <v>1410</v>
      </c>
    </row>
    <row r="1413" spans="1:6" x14ac:dyDescent="0.25">
      <c r="A1413" t="s">
        <v>1427</v>
      </c>
      <c r="B1413" s="248">
        <v>2325</v>
      </c>
      <c r="C1413" t="s">
        <v>4379</v>
      </c>
      <c r="D1413" t="s">
        <v>3204</v>
      </c>
      <c r="E1413" s="249" t="s">
        <v>3048</v>
      </c>
      <c r="F1413">
        <v>1411</v>
      </c>
    </row>
    <row r="1414" spans="1:6" x14ac:dyDescent="0.25">
      <c r="A1414" t="s">
        <v>1158</v>
      </c>
      <c r="B1414" s="248">
        <v>2191</v>
      </c>
      <c r="C1414" t="s">
        <v>4380</v>
      </c>
      <c r="D1414" t="s">
        <v>3053</v>
      </c>
      <c r="E1414" s="249" t="s">
        <v>3046</v>
      </c>
      <c r="F1414">
        <v>1412</v>
      </c>
    </row>
    <row r="1415" spans="1:6" x14ac:dyDescent="0.25">
      <c r="A1415" t="s">
        <v>550</v>
      </c>
      <c r="B1415" s="248">
        <v>80.5</v>
      </c>
      <c r="C1415" t="s">
        <v>4381</v>
      </c>
      <c r="D1415" t="s">
        <v>3204</v>
      </c>
      <c r="E1415" s="249" t="s">
        <v>3044</v>
      </c>
      <c r="F1415">
        <v>1413</v>
      </c>
    </row>
    <row r="1416" spans="1:6" x14ac:dyDescent="0.25">
      <c r="A1416" t="s">
        <v>363</v>
      </c>
      <c r="B1416" s="248">
        <v>6254</v>
      </c>
      <c r="C1416" t="s">
        <v>4382</v>
      </c>
      <c r="D1416" t="s">
        <v>3204</v>
      </c>
      <c r="E1416" s="249" t="s">
        <v>3043</v>
      </c>
      <c r="F1416">
        <v>1414</v>
      </c>
    </row>
    <row r="1417" spans="1:6" x14ac:dyDescent="0.25">
      <c r="A1417" t="s">
        <v>962</v>
      </c>
      <c r="B1417" s="248">
        <v>2738</v>
      </c>
      <c r="C1417" t="s">
        <v>4383</v>
      </c>
      <c r="D1417" t="s">
        <v>3053</v>
      </c>
      <c r="E1417" s="249" t="s">
        <v>3045</v>
      </c>
      <c r="F1417">
        <v>1415</v>
      </c>
    </row>
    <row r="1418" spans="1:6" x14ac:dyDescent="0.25">
      <c r="A1418" t="s">
        <v>1575</v>
      </c>
      <c r="B1418" s="248">
        <v>3202</v>
      </c>
      <c r="C1418" t="s">
        <v>4384</v>
      </c>
      <c r="D1418" t="s">
        <v>3053</v>
      </c>
      <c r="E1418" s="249" t="s">
        <v>3047</v>
      </c>
      <c r="F1418">
        <v>1416</v>
      </c>
    </row>
    <row r="1419" spans="1:6" x14ac:dyDescent="0.25">
      <c r="A1419" t="s">
        <v>1557</v>
      </c>
      <c r="B1419" s="248">
        <v>702.5</v>
      </c>
      <c r="C1419" t="s">
        <v>4385</v>
      </c>
      <c r="D1419" t="s">
        <v>3053</v>
      </c>
      <c r="E1419" s="249" t="s">
        <v>3047</v>
      </c>
      <c r="F1419">
        <v>1417</v>
      </c>
    </row>
    <row r="1420" spans="1:6" x14ac:dyDescent="0.25">
      <c r="A1420" t="s">
        <v>1038</v>
      </c>
      <c r="B1420" s="248">
        <v>4771</v>
      </c>
      <c r="C1420" t="s">
        <v>4386</v>
      </c>
      <c r="D1420" t="s">
        <v>3053</v>
      </c>
      <c r="E1420" s="249" t="s">
        <v>3045</v>
      </c>
      <c r="F1420">
        <v>1418</v>
      </c>
    </row>
    <row r="1421" spans="1:6" x14ac:dyDescent="0.25">
      <c r="A1421" t="s">
        <v>383</v>
      </c>
      <c r="B1421" s="248">
        <v>690.5</v>
      </c>
      <c r="C1421" t="s">
        <v>4387</v>
      </c>
      <c r="D1421" t="s">
        <v>3053</v>
      </c>
      <c r="E1421" s="249" t="s">
        <v>3043</v>
      </c>
      <c r="F1421">
        <v>1419</v>
      </c>
    </row>
    <row r="1422" spans="1:6" x14ac:dyDescent="0.25">
      <c r="A1422" t="s">
        <v>392</v>
      </c>
      <c r="B1422" s="248">
        <v>1936</v>
      </c>
      <c r="C1422" t="s">
        <v>4388</v>
      </c>
      <c r="D1422" t="s">
        <v>3053</v>
      </c>
      <c r="E1422" s="249" t="s">
        <v>3043</v>
      </c>
      <c r="F1422">
        <v>1420</v>
      </c>
    </row>
    <row r="1423" spans="1:6" x14ac:dyDescent="0.25">
      <c r="A1423" t="s">
        <v>2210</v>
      </c>
      <c r="B1423" s="248">
        <v>281.5</v>
      </c>
      <c r="C1423" t="s">
        <v>4389</v>
      </c>
      <c r="D1423" t="s">
        <v>3204</v>
      </c>
      <c r="E1423" s="249" t="s">
        <v>3016</v>
      </c>
      <c r="F1423">
        <v>1421</v>
      </c>
    </row>
    <row r="1424" spans="1:6" x14ac:dyDescent="0.25">
      <c r="A1424" t="s">
        <v>829</v>
      </c>
      <c r="B1424" s="248">
        <v>63.5</v>
      </c>
      <c r="C1424" t="s">
        <v>4390</v>
      </c>
      <c r="D1424" t="s">
        <v>3204</v>
      </c>
      <c r="E1424" s="249" t="s">
        <v>3045</v>
      </c>
      <c r="F1424">
        <v>1422</v>
      </c>
    </row>
    <row r="1425" spans="1:6" x14ac:dyDescent="0.25">
      <c r="A1425" t="s">
        <v>1053</v>
      </c>
      <c r="B1425" s="248">
        <v>285.5</v>
      </c>
      <c r="C1425" t="s">
        <v>4391</v>
      </c>
      <c r="D1425" t="s">
        <v>3053</v>
      </c>
      <c r="E1425" s="249" t="s">
        <v>3046</v>
      </c>
      <c r="F1425">
        <v>1423</v>
      </c>
    </row>
    <row r="1426" spans="1:6" x14ac:dyDescent="0.25">
      <c r="A1426" t="s">
        <v>1437</v>
      </c>
      <c r="B1426" s="248">
        <v>2658</v>
      </c>
      <c r="C1426" t="s">
        <v>4392</v>
      </c>
      <c r="D1426" t="s">
        <v>3204</v>
      </c>
      <c r="E1426" s="249" t="s">
        <v>3048</v>
      </c>
      <c r="F1426">
        <v>1424</v>
      </c>
    </row>
    <row r="1427" spans="1:6" x14ac:dyDescent="0.25">
      <c r="A1427" t="s">
        <v>2849</v>
      </c>
      <c r="B1427" s="248">
        <v>80.5</v>
      </c>
      <c r="C1427" t="s">
        <v>4393</v>
      </c>
      <c r="D1427" t="s">
        <v>3204</v>
      </c>
      <c r="E1427" s="249" t="s">
        <v>3045</v>
      </c>
      <c r="F1427">
        <v>1425</v>
      </c>
    </row>
    <row r="1428" spans="1:6" x14ac:dyDescent="0.25">
      <c r="A1428" t="s">
        <v>1043</v>
      </c>
      <c r="B1428" s="248">
        <v>16982</v>
      </c>
      <c r="C1428" t="s">
        <v>4394</v>
      </c>
      <c r="D1428" t="s">
        <v>3053</v>
      </c>
      <c r="E1428" s="249" t="s">
        <v>3045</v>
      </c>
      <c r="F1428">
        <v>1426</v>
      </c>
    </row>
    <row r="1429" spans="1:6" x14ac:dyDescent="0.25">
      <c r="A1429" t="s">
        <v>553</v>
      </c>
      <c r="B1429" s="248">
        <v>93.5</v>
      </c>
      <c r="C1429" t="s">
        <v>4395</v>
      </c>
      <c r="D1429" t="s">
        <v>3204</v>
      </c>
      <c r="E1429" s="249" t="s">
        <v>3044</v>
      </c>
      <c r="F1429">
        <v>1427</v>
      </c>
    </row>
    <row r="1430" spans="1:6" x14ac:dyDescent="0.25">
      <c r="A1430" t="s">
        <v>430</v>
      </c>
      <c r="B1430" s="248">
        <v>258.5</v>
      </c>
      <c r="C1430" t="s">
        <v>4396</v>
      </c>
      <c r="D1430" t="s">
        <v>3204</v>
      </c>
      <c r="E1430" s="249" t="s">
        <v>3043</v>
      </c>
      <c r="F1430">
        <v>1428</v>
      </c>
    </row>
    <row r="1431" spans="1:6" x14ac:dyDescent="0.25">
      <c r="A1431" t="s">
        <v>253</v>
      </c>
      <c r="B1431" s="248">
        <v>4610</v>
      </c>
      <c r="C1431" t="s">
        <v>4397</v>
      </c>
      <c r="D1431" t="s">
        <v>3053</v>
      </c>
      <c r="E1431" s="249" t="s">
        <v>3043</v>
      </c>
      <c r="F1431">
        <v>1429</v>
      </c>
    </row>
    <row r="1432" spans="1:6" x14ac:dyDescent="0.25">
      <c r="A1432" t="s">
        <v>315</v>
      </c>
      <c r="B1432" s="248">
        <v>1943</v>
      </c>
      <c r="C1432" t="s">
        <v>4398</v>
      </c>
      <c r="D1432" t="s">
        <v>3204</v>
      </c>
      <c r="E1432" s="249" t="s">
        <v>3045</v>
      </c>
      <c r="F1432">
        <v>1430</v>
      </c>
    </row>
    <row r="1433" spans="1:6" x14ac:dyDescent="0.25">
      <c r="A1433" t="s">
        <v>1453</v>
      </c>
      <c r="B1433" s="248">
        <v>3239</v>
      </c>
      <c r="C1433" t="s">
        <v>4399</v>
      </c>
      <c r="D1433" t="s">
        <v>3204</v>
      </c>
      <c r="E1433" s="249" t="s">
        <v>3048</v>
      </c>
      <c r="F1433">
        <v>1431</v>
      </c>
    </row>
    <row r="1434" spans="1:6" x14ac:dyDescent="0.25">
      <c r="A1434" t="s">
        <v>2235</v>
      </c>
      <c r="B1434" s="248">
        <v>6981</v>
      </c>
      <c r="C1434" t="s">
        <v>4400</v>
      </c>
      <c r="D1434" t="s">
        <v>3053</v>
      </c>
      <c r="E1434" s="249" t="s">
        <v>3016</v>
      </c>
      <c r="F1434">
        <v>1432</v>
      </c>
    </row>
    <row r="1435" spans="1:6" x14ac:dyDescent="0.25">
      <c r="A1435" t="s">
        <v>778</v>
      </c>
      <c r="B1435" s="248">
        <v>63.5</v>
      </c>
      <c r="C1435" t="s">
        <v>4401</v>
      </c>
      <c r="D1435" t="s">
        <v>3204</v>
      </c>
      <c r="E1435" s="249" t="s">
        <v>3045</v>
      </c>
      <c r="F1435">
        <v>1433</v>
      </c>
    </row>
    <row r="1436" spans="1:6" x14ac:dyDescent="0.25">
      <c r="A1436" t="s">
        <v>1168</v>
      </c>
      <c r="B1436" s="248">
        <v>3504</v>
      </c>
      <c r="C1436" t="s">
        <v>4402</v>
      </c>
      <c r="D1436" t="s">
        <v>3053</v>
      </c>
      <c r="E1436" s="249" t="s">
        <v>3046</v>
      </c>
      <c r="F1436">
        <v>1434</v>
      </c>
    </row>
    <row r="1437" spans="1:6" x14ac:dyDescent="0.25">
      <c r="A1437" t="s">
        <v>944</v>
      </c>
      <c r="B1437" s="248">
        <v>1595</v>
      </c>
      <c r="C1437" t="s">
        <v>4403</v>
      </c>
      <c r="D1437" t="s">
        <v>3053</v>
      </c>
      <c r="E1437" s="249" t="s">
        <v>3045</v>
      </c>
      <c r="F1437">
        <v>1435</v>
      </c>
    </row>
    <row r="1438" spans="1:6" x14ac:dyDescent="0.25">
      <c r="A1438" t="s">
        <v>234</v>
      </c>
      <c r="B1438" s="248">
        <v>396</v>
      </c>
      <c r="C1438" t="s">
        <v>4404</v>
      </c>
      <c r="D1438" t="s">
        <v>3053</v>
      </c>
      <c r="E1438" s="249" t="s">
        <v>3043</v>
      </c>
      <c r="F1438">
        <v>1436</v>
      </c>
    </row>
    <row r="1439" spans="1:6" x14ac:dyDescent="0.25">
      <c r="A1439" t="s">
        <v>1551</v>
      </c>
      <c r="B1439" s="248">
        <v>2908</v>
      </c>
      <c r="C1439" t="s">
        <v>4405</v>
      </c>
      <c r="D1439" t="s">
        <v>3204</v>
      </c>
      <c r="E1439" s="249" t="s">
        <v>3047</v>
      </c>
      <c r="F1439">
        <v>1437</v>
      </c>
    </row>
    <row r="1440" spans="1:6" x14ac:dyDescent="0.25">
      <c r="A1440" t="s">
        <v>329</v>
      </c>
      <c r="B1440" s="248">
        <v>1943</v>
      </c>
      <c r="C1440" t="s">
        <v>4406</v>
      </c>
      <c r="D1440" t="s">
        <v>3204</v>
      </c>
      <c r="E1440" s="249" t="s">
        <v>3045</v>
      </c>
      <c r="F1440">
        <v>1438</v>
      </c>
    </row>
    <row r="1441" spans="1:6" x14ac:dyDescent="0.25">
      <c r="A1441" t="s">
        <v>949</v>
      </c>
      <c r="B1441" s="248">
        <v>1770</v>
      </c>
      <c r="C1441" t="s">
        <v>4407</v>
      </c>
      <c r="D1441" t="s">
        <v>3053</v>
      </c>
      <c r="E1441" s="249" t="s">
        <v>3045</v>
      </c>
      <c r="F1441">
        <v>1439</v>
      </c>
    </row>
    <row r="1442" spans="1:6" x14ac:dyDescent="0.25">
      <c r="A1442" t="s">
        <v>2848</v>
      </c>
      <c r="B1442" s="248">
        <v>80.5</v>
      </c>
      <c r="C1442" t="s">
        <v>4408</v>
      </c>
      <c r="D1442" t="s">
        <v>3204</v>
      </c>
      <c r="E1442" s="249" t="s">
        <v>3044</v>
      </c>
      <c r="F1442">
        <v>1440</v>
      </c>
    </row>
    <row r="1443" spans="1:6" x14ac:dyDescent="0.25">
      <c r="A1443" t="s">
        <v>2857</v>
      </c>
      <c r="B1443" s="248">
        <v>92</v>
      </c>
      <c r="C1443" t="s">
        <v>4409</v>
      </c>
      <c r="D1443" t="s">
        <v>3204</v>
      </c>
      <c r="E1443" s="249" t="s">
        <v>3045</v>
      </c>
      <c r="F1443">
        <v>1441</v>
      </c>
    </row>
    <row r="1444" spans="1:6" x14ac:dyDescent="0.25">
      <c r="A1444" t="s">
        <v>1157</v>
      </c>
      <c r="B1444" s="248">
        <v>2191</v>
      </c>
      <c r="C1444" t="s">
        <v>4410</v>
      </c>
      <c r="D1444" t="s">
        <v>3053</v>
      </c>
      <c r="E1444" s="249" t="s">
        <v>3046</v>
      </c>
      <c r="F1444">
        <v>1442</v>
      </c>
    </row>
    <row r="1445" spans="1:6" x14ac:dyDescent="0.25">
      <c r="A1445" t="s">
        <v>1508</v>
      </c>
      <c r="B1445" s="248">
        <v>582</v>
      </c>
      <c r="C1445" t="s">
        <v>4411</v>
      </c>
      <c r="D1445" t="s">
        <v>3204</v>
      </c>
      <c r="E1445" s="249" t="s">
        <v>3047</v>
      </c>
      <c r="F1445">
        <v>1443</v>
      </c>
    </row>
    <row r="1446" spans="1:6" x14ac:dyDescent="0.25">
      <c r="A1446" t="s">
        <v>2864</v>
      </c>
      <c r="B1446" s="248">
        <v>83.25</v>
      </c>
      <c r="C1446" t="s">
        <v>4412</v>
      </c>
      <c r="D1446" t="s">
        <v>3204</v>
      </c>
      <c r="E1446" s="249" t="s">
        <v>3045</v>
      </c>
      <c r="F1446">
        <v>1444</v>
      </c>
    </row>
    <row r="1447" spans="1:6" x14ac:dyDescent="0.25">
      <c r="A1447" t="s">
        <v>847</v>
      </c>
      <c r="B1447" s="248">
        <v>1173</v>
      </c>
      <c r="C1447" t="s">
        <v>4413</v>
      </c>
      <c r="D1447" t="s">
        <v>3053</v>
      </c>
      <c r="E1447" s="249" t="s">
        <v>3045</v>
      </c>
      <c r="F1447">
        <v>1445</v>
      </c>
    </row>
    <row r="1448" spans="1:6" x14ac:dyDescent="0.25">
      <c r="A1448" t="s">
        <v>6353</v>
      </c>
      <c r="B1448" s="248">
        <v>5158</v>
      </c>
      <c r="C1448" t="s">
        <v>6364</v>
      </c>
      <c r="D1448" t="s">
        <v>3204</v>
      </c>
      <c r="E1448" s="249" t="s">
        <v>3001</v>
      </c>
      <c r="F1448">
        <v>1446</v>
      </c>
    </row>
    <row r="1449" spans="1:6" x14ac:dyDescent="0.25">
      <c r="A1449" t="s">
        <v>1447</v>
      </c>
      <c r="B1449" s="248">
        <v>2658</v>
      </c>
      <c r="C1449" t="s">
        <v>4414</v>
      </c>
      <c r="D1449" t="s">
        <v>3204</v>
      </c>
      <c r="E1449" s="249" t="s">
        <v>3048</v>
      </c>
      <c r="F1449">
        <v>1447</v>
      </c>
    </row>
    <row r="1450" spans="1:6" x14ac:dyDescent="0.25">
      <c r="A1450" t="s">
        <v>567</v>
      </c>
      <c r="B1450" s="248">
        <v>93.5</v>
      </c>
      <c r="C1450" t="s">
        <v>4415</v>
      </c>
      <c r="D1450" t="s">
        <v>3204</v>
      </c>
      <c r="E1450" s="249" t="s">
        <v>3044</v>
      </c>
      <c r="F1450">
        <v>1448</v>
      </c>
    </row>
    <row r="1451" spans="1:6" x14ac:dyDescent="0.25">
      <c r="A1451" t="s">
        <v>353</v>
      </c>
      <c r="B1451" s="248">
        <v>1943</v>
      </c>
      <c r="C1451" t="s">
        <v>4416</v>
      </c>
      <c r="D1451" t="s">
        <v>3204</v>
      </c>
      <c r="E1451" s="249" t="s">
        <v>3045</v>
      </c>
      <c r="F1451">
        <v>1449</v>
      </c>
    </row>
    <row r="1452" spans="1:6" x14ac:dyDescent="0.25">
      <c r="A1452" t="s">
        <v>166</v>
      </c>
      <c r="B1452" s="248">
        <v>266.5</v>
      </c>
      <c r="C1452" t="s">
        <v>4417</v>
      </c>
      <c r="D1452" t="s">
        <v>3204</v>
      </c>
      <c r="E1452" s="249" t="s">
        <v>3043</v>
      </c>
      <c r="F1452">
        <v>1450</v>
      </c>
    </row>
    <row r="1453" spans="1:6" x14ac:dyDescent="0.25">
      <c r="A1453" t="s">
        <v>86</v>
      </c>
      <c r="B1453" s="248">
        <v>1804</v>
      </c>
      <c r="C1453" t="s">
        <v>4418</v>
      </c>
      <c r="D1453" t="s">
        <v>3053</v>
      </c>
      <c r="E1453" s="249" t="s">
        <v>3043</v>
      </c>
      <c r="F1453">
        <v>1451</v>
      </c>
    </row>
    <row r="1454" spans="1:6" x14ac:dyDescent="0.25">
      <c r="A1454" t="s">
        <v>311</v>
      </c>
      <c r="B1454" s="248">
        <v>316</v>
      </c>
      <c r="C1454" t="s">
        <v>4419</v>
      </c>
      <c r="D1454" t="s">
        <v>3204</v>
      </c>
      <c r="E1454" s="249" t="s">
        <v>3045</v>
      </c>
      <c r="F1454">
        <v>1452</v>
      </c>
    </row>
    <row r="1455" spans="1:6" x14ac:dyDescent="0.25">
      <c r="A1455" t="s">
        <v>6351</v>
      </c>
      <c r="B1455" s="248">
        <v>3659</v>
      </c>
      <c r="C1455" t="s">
        <v>6362</v>
      </c>
      <c r="D1455" t="s">
        <v>3204</v>
      </c>
      <c r="E1455" s="249" t="s">
        <v>3001</v>
      </c>
      <c r="F1455">
        <v>1453</v>
      </c>
    </row>
    <row r="1456" spans="1:6" x14ac:dyDescent="0.25">
      <c r="A1456" t="s">
        <v>1750</v>
      </c>
      <c r="B1456" s="248">
        <v>4734</v>
      </c>
      <c r="C1456" t="s">
        <v>4420</v>
      </c>
      <c r="D1456" t="s">
        <v>3204</v>
      </c>
      <c r="E1456" s="249" t="s">
        <v>3048</v>
      </c>
      <c r="F1456">
        <v>1454</v>
      </c>
    </row>
    <row r="1457" spans="1:6" x14ac:dyDescent="0.25">
      <c r="A1457" t="s">
        <v>1050</v>
      </c>
      <c r="B1457" s="248">
        <v>285.5</v>
      </c>
      <c r="C1457" t="s">
        <v>4421</v>
      </c>
      <c r="D1457" t="s">
        <v>3053</v>
      </c>
      <c r="E1457" s="249" t="s">
        <v>3046</v>
      </c>
      <c r="F1457">
        <v>1455</v>
      </c>
    </row>
    <row r="1458" spans="1:6" x14ac:dyDescent="0.25">
      <c r="A1458" t="s">
        <v>1446</v>
      </c>
      <c r="B1458" s="248">
        <v>1080</v>
      </c>
      <c r="C1458" t="s">
        <v>4422</v>
      </c>
      <c r="D1458" t="s">
        <v>3204</v>
      </c>
      <c r="E1458" s="249" t="s">
        <v>3048</v>
      </c>
      <c r="F1458">
        <v>1456</v>
      </c>
    </row>
    <row r="1459" spans="1:6" x14ac:dyDescent="0.25">
      <c r="A1459" t="s">
        <v>2860</v>
      </c>
      <c r="B1459" s="248">
        <v>83.25</v>
      </c>
      <c r="C1459" t="s">
        <v>4423</v>
      </c>
      <c r="D1459" t="s">
        <v>3204</v>
      </c>
      <c r="E1459" s="249" t="s">
        <v>3045</v>
      </c>
      <c r="F1459">
        <v>1457</v>
      </c>
    </row>
    <row r="1460" spans="1:6" x14ac:dyDescent="0.25">
      <c r="A1460" t="s">
        <v>846</v>
      </c>
      <c r="B1460" s="248">
        <v>1173</v>
      </c>
      <c r="C1460" t="s">
        <v>4424</v>
      </c>
      <c r="D1460" t="s">
        <v>3053</v>
      </c>
      <c r="E1460" s="249" t="s">
        <v>3045</v>
      </c>
      <c r="F1460">
        <v>1458</v>
      </c>
    </row>
    <row r="1461" spans="1:6" x14ac:dyDescent="0.25">
      <c r="A1461" t="s">
        <v>950</v>
      </c>
      <c r="B1461" s="248">
        <v>1770</v>
      </c>
      <c r="C1461" t="s">
        <v>4425</v>
      </c>
      <c r="D1461" t="s">
        <v>3053</v>
      </c>
      <c r="E1461" s="249" t="s">
        <v>3045</v>
      </c>
      <c r="F1461">
        <v>1459</v>
      </c>
    </row>
    <row r="1462" spans="1:6" x14ac:dyDescent="0.25">
      <c r="A1462" t="s">
        <v>1148</v>
      </c>
      <c r="B1462" s="248">
        <v>1878</v>
      </c>
      <c r="C1462" t="s">
        <v>4426</v>
      </c>
      <c r="D1462" t="s">
        <v>3053</v>
      </c>
      <c r="E1462" s="249" t="s">
        <v>3046</v>
      </c>
      <c r="F1462">
        <v>1460</v>
      </c>
    </row>
    <row r="1463" spans="1:6" x14ac:dyDescent="0.25">
      <c r="A1463" t="s">
        <v>1101</v>
      </c>
      <c r="B1463" s="248">
        <v>541.5</v>
      </c>
      <c r="C1463" t="s">
        <v>4427</v>
      </c>
      <c r="D1463" t="s">
        <v>3053</v>
      </c>
      <c r="E1463" s="249" t="s">
        <v>3046</v>
      </c>
      <c r="F1463">
        <v>1461</v>
      </c>
    </row>
    <row r="1464" spans="1:6" x14ac:dyDescent="0.25">
      <c r="A1464" t="s">
        <v>546</v>
      </c>
      <c r="B1464" s="248">
        <v>125</v>
      </c>
      <c r="C1464" t="s">
        <v>4428</v>
      </c>
      <c r="D1464" t="s">
        <v>3204</v>
      </c>
      <c r="E1464" s="249" t="s">
        <v>3044</v>
      </c>
      <c r="F1464">
        <v>1462</v>
      </c>
    </row>
    <row r="1465" spans="1:6" x14ac:dyDescent="0.25">
      <c r="A1465" t="s">
        <v>1795</v>
      </c>
      <c r="B1465" s="248">
        <v>908.5</v>
      </c>
      <c r="C1465" t="s">
        <v>4429</v>
      </c>
      <c r="D1465" t="s">
        <v>3053</v>
      </c>
      <c r="E1465" s="249" t="s">
        <v>3049</v>
      </c>
      <c r="F1465">
        <v>1463</v>
      </c>
    </row>
    <row r="1466" spans="1:6" x14ac:dyDescent="0.25">
      <c r="A1466" t="s">
        <v>1153</v>
      </c>
      <c r="B1466" s="248">
        <v>1905</v>
      </c>
      <c r="C1466" t="s">
        <v>4430</v>
      </c>
      <c r="D1466" t="s">
        <v>3053</v>
      </c>
      <c r="E1466" s="249" t="s">
        <v>3046</v>
      </c>
      <c r="F1466">
        <v>1464</v>
      </c>
    </row>
    <row r="1467" spans="1:6" x14ac:dyDescent="0.25">
      <c r="A1467" t="s">
        <v>1541</v>
      </c>
      <c r="B1467" s="248">
        <v>996.5</v>
      </c>
      <c r="C1467" t="s">
        <v>4431</v>
      </c>
      <c r="D1467" t="s">
        <v>3204</v>
      </c>
      <c r="E1467" s="249" t="s">
        <v>3047</v>
      </c>
      <c r="F1467">
        <v>1465</v>
      </c>
    </row>
    <row r="1468" spans="1:6" x14ac:dyDescent="0.25">
      <c r="A1468" t="s">
        <v>452</v>
      </c>
      <c r="B1468" s="248">
        <v>125</v>
      </c>
      <c r="C1468" t="s">
        <v>4432</v>
      </c>
      <c r="D1468" t="s">
        <v>3204</v>
      </c>
      <c r="E1468" s="249" t="s">
        <v>3043</v>
      </c>
      <c r="F1468">
        <v>1466</v>
      </c>
    </row>
    <row r="1469" spans="1:6" x14ac:dyDescent="0.25">
      <c r="A1469" t="s">
        <v>995</v>
      </c>
      <c r="B1469" s="248">
        <v>1770</v>
      </c>
      <c r="C1469" t="s">
        <v>4433</v>
      </c>
      <c r="D1469" t="s">
        <v>3053</v>
      </c>
      <c r="E1469" s="249" t="s">
        <v>3045</v>
      </c>
      <c r="F1469">
        <v>1467</v>
      </c>
    </row>
    <row r="1470" spans="1:6" x14ac:dyDescent="0.25">
      <c r="A1470" t="s">
        <v>1443</v>
      </c>
      <c r="B1470" s="248">
        <v>2908</v>
      </c>
      <c r="C1470" t="s">
        <v>4434</v>
      </c>
      <c r="D1470" t="s">
        <v>3204</v>
      </c>
      <c r="E1470" s="249" t="s">
        <v>3048</v>
      </c>
      <c r="F1470">
        <v>1468</v>
      </c>
    </row>
    <row r="1471" spans="1:6" x14ac:dyDescent="0.25">
      <c r="A1471" t="s">
        <v>450</v>
      </c>
      <c r="B1471" s="248">
        <v>4435</v>
      </c>
      <c r="C1471" t="s">
        <v>4435</v>
      </c>
      <c r="D1471" t="s">
        <v>3204</v>
      </c>
      <c r="E1471" s="249" t="s">
        <v>3043</v>
      </c>
      <c r="F1471">
        <v>1469</v>
      </c>
    </row>
    <row r="1472" spans="1:6" x14ac:dyDescent="0.25">
      <c r="A1472" t="s">
        <v>800</v>
      </c>
      <c r="B1472" s="248">
        <v>88.5</v>
      </c>
      <c r="C1472" t="s">
        <v>4436</v>
      </c>
      <c r="D1472" t="s">
        <v>3204</v>
      </c>
      <c r="E1472" s="249" t="s">
        <v>3045</v>
      </c>
      <c r="F1472">
        <v>1470</v>
      </c>
    </row>
    <row r="1473" spans="1:6" x14ac:dyDescent="0.25">
      <c r="A1473" t="s">
        <v>786</v>
      </c>
      <c r="B1473" s="248">
        <v>80.5</v>
      </c>
      <c r="C1473" t="s">
        <v>4437</v>
      </c>
      <c r="D1473" t="s">
        <v>3204</v>
      </c>
      <c r="E1473" s="249" t="s">
        <v>3045</v>
      </c>
      <c r="F1473">
        <v>1471</v>
      </c>
    </row>
    <row r="1474" spans="1:6" x14ac:dyDescent="0.25">
      <c r="A1474" t="s">
        <v>833</v>
      </c>
      <c r="B1474" s="248">
        <v>88.5</v>
      </c>
      <c r="C1474" t="s">
        <v>4438</v>
      </c>
      <c r="D1474" t="s">
        <v>3204</v>
      </c>
      <c r="E1474" s="249" t="s">
        <v>3045</v>
      </c>
      <c r="F1474">
        <v>1472</v>
      </c>
    </row>
    <row r="1475" spans="1:6" x14ac:dyDescent="0.25">
      <c r="A1475" t="s">
        <v>339</v>
      </c>
      <c r="B1475" s="248">
        <v>2084</v>
      </c>
      <c r="C1475" t="s">
        <v>4439</v>
      </c>
      <c r="D1475" t="s">
        <v>3204</v>
      </c>
      <c r="E1475" s="249" t="s">
        <v>3045</v>
      </c>
      <c r="F1475">
        <v>1473</v>
      </c>
    </row>
    <row r="1476" spans="1:6" x14ac:dyDescent="0.25">
      <c r="A1476" t="s">
        <v>967</v>
      </c>
      <c r="B1476" s="248">
        <v>5168</v>
      </c>
      <c r="C1476" t="s">
        <v>4440</v>
      </c>
      <c r="D1476" t="s">
        <v>3053</v>
      </c>
      <c r="E1476" s="249" t="s">
        <v>3045</v>
      </c>
      <c r="F1476">
        <v>1474</v>
      </c>
    </row>
    <row r="1477" spans="1:6" x14ac:dyDescent="0.25">
      <c r="A1477" t="s">
        <v>116</v>
      </c>
      <c r="B1477" s="248">
        <v>8.75</v>
      </c>
      <c r="C1477" t="s">
        <v>4441</v>
      </c>
      <c r="D1477" t="s">
        <v>3204</v>
      </c>
      <c r="E1477" s="249" t="s">
        <v>3043</v>
      </c>
      <c r="F1477">
        <v>1475</v>
      </c>
    </row>
    <row r="1478" spans="1:6" x14ac:dyDescent="0.25">
      <c r="A1478" t="s">
        <v>532</v>
      </c>
      <c r="B1478" s="248">
        <v>8.75</v>
      </c>
      <c r="C1478" t="s">
        <v>4442</v>
      </c>
      <c r="D1478" t="s">
        <v>3204</v>
      </c>
      <c r="E1478" s="249" t="s">
        <v>3044</v>
      </c>
      <c r="F1478">
        <v>1476</v>
      </c>
    </row>
    <row r="1479" spans="1:6" x14ac:dyDescent="0.25">
      <c r="A1479" t="s">
        <v>115</v>
      </c>
      <c r="B1479" s="248">
        <v>8.75</v>
      </c>
      <c r="C1479" t="s">
        <v>4443</v>
      </c>
      <c r="D1479" t="s">
        <v>3204</v>
      </c>
      <c r="E1479" s="249" t="s">
        <v>3043</v>
      </c>
      <c r="F1479">
        <v>1477</v>
      </c>
    </row>
    <row r="1480" spans="1:6" x14ac:dyDescent="0.25">
      <c r="A1480" t="s">
        <v>655</v>
      </c>
      <c r="B1480" s="248">
        <v>138</v>
      </c>
      <c r="C1480" t="s">
        <v>4444</v>
      </c>
      <c r="D1480" t="s">
        <v>3053</v>
      </c>
      <c r="E1480" s="249" t="s">
        <v>3045</v>
      </c>
      <c r="F1480">
        <v>1478</v>
      </c>
    </row>
    <row r="1481" spans="1:6" x14ac:dyDescent="0.25">
      <c r="A1481" t="s">
        <v>945</v>
      </c>
      <c r="B1481" s="248">
        <v>1595</v>
      </c>
      <c r="C1481" t="s">
        <v>4445</v>
      </c>
      <c r="D1481" t="s">
        <v>3053</v>
      </c>
      <c r="E1481" s="249" t="s">
        <v>3045</v>
      </c>
      <c r="F1481">
        <v>1479</v>
      </c>
    </row>
    <row r="1482" spans="1:6" x14ac:dyDescent="0.25">
      <c r="A1482" t="s">
        <v>798</v>
      </c>
      <c r="B1482" s="248">
        <v>63.5</v>
      </c>
      <c r="C1482" t="s">
        <v>4446</v>
      </c>
      <c r="D1482" t="s">
        <v>3204</v>
      </c>
      <c r="E1482" s="249" t="s">
        <v>3045</v>
      </c>
      <c r="F1482">
        <v>1480</v>
      </c>
    </row>
    <row r="1483" spans="1:6" x14ac:dyDescent="0.25">
      <c r="A1483" t="s">
        <v>1529</v>
      </c>
      <c r="B1483" s="248">
        <v>2658</v>
      </c>
      <c r="C1483" t="s">
        <v>4447</v>
      </c>
      <c r="D1483" t="s">
        <v>3204</v>
      </c>
      <c r="E1483" s="249" t="s">
        <v>3047</v>
      </c>
      <c r="F1483">
        <v>1481</v>
      </c>
    </row>
    <row r="1484" spans="1:6" x14ac:dyDescent="0.25">
      <c r="A1484" t="s">
        <v>1821</v>
      </c>
      <c r="B1484" s="248">
        <v>498.5</v>
      </c>
      <c r="C1484" t="s">
        <v>4448</v>
      </c>
      <c r="D1484" t="s">
        <v>3204</v>
      </c>
      <c r="E1484" s="249" t="s">
        <v>3049</v>
      </c>
      <c r="F1484">
        <v>1482</v>
      </c>
    </row>
    <row r="1485" spans="1:6" x14ac:dyDescent="0.25">
      <c r="A1485" t="s">
        <v>1325</v>
      </c>
      <c r="B1485" s="248">
        <v>582</v>
      </c>
      <c r="C1485" t="s">
        <v>4449</v>
      </c>
      <c r="D1485" t="s">
        <v>3204</v>
      </c>
      <c r="E1485" s="249" t="s">
        <v>3048</v>
      </c>
      <c r="F1485">
        <v>1483</v>
      </c>
    </row>
    <row r="1486" spans="1:6" x14ac:dyDescent="0.25">
      <c r="A1486" t="s">
        <v>533</v>
      </c>
      <c r="B1486" s="248">
        <v>8.75</v>
      </c>
      <c r="C1486" t="s">
        <v>4450</v>
      </c>
      <c r="D1486" t="s">
        <v>3204</v>
      </c>
      <c r="E1486" s="249" t="s">
        <v>3044</v>
      </c>
      <c r="F1486">
        <v>1484</v>
      </c>
    </row>
    <row r="1487" spans="1:6" x14ac:dyDescent="0.25">
      <c r="A1487" t="s">
        <v>535</v>
      </c>
      <c r="B1487" s="248">
        <v>13</v>
      </c>
      <c r="C1487" t="s">
        <v>4451</v>
      </c>
      <c r="D1487" t="s">
        <v>3204</v>
      </c>
      <c r="E1487" s="249" t="s">
        <v>3044</v>
      </c>
      <c r="F1487">
        <v>1485</v>
      </c>
    </row>
    <row r="1488" spans="1:6" x14ac:dyDescent="0.25">
      <c r="A1488" t="s">
        <v>117</v>
      </c>
      <c r="B1488" s="248">
        <v>13</v>
      </c>
      <c r="C1488" t="s">
        <v>4452</v>
      </c>
      <c r="D1488" t="s">
        <v>3204</v>
      </c>
      <c r="E1488" s="249" t="s">
        <v>3043</v>
      </c>
      <c r="F1488">
        <v>1486</v>
      </c>
    </row>
    <row r="1489" spans="1:6" x14ac:dyDescent="0.25">
      <c r="A1489" t="s">
        <v>1431</v>
      </c>
      <c r="B1489" s="248">
        <v>2492</v>
      </c>
      <c r="C1489" t="s">
        <v>4453</v>
      </c>
      <c r="D1489" t="s">
        <v>3204</v>
      </c>
      <c r="E1489" s="249" t="s">
        <v>3047</v>
      </c>
      <c r="F1489">
        <v>1487</v>
      </c>
    </row>
    <row r="1490" spans="1:6" x14ac:dyDescent="0.25">
      <c r="A1490" t="s">
        <v>1076</v>
      </c>
      <c r="B1490" s="248">
        <v>238.5</v>
      </c>
      <c r="C1490" t="s">
        <v>4454</v>
      </c>
      <c r="D1490" t="s">
        <v>3053</v>
      </c>
      <c r="E1490" s="249" t="s">
        <v>3046</v>
      </c>
      <c r="F1490">
        <v>1488</v>
      </c>
    </row>
    <row r="1491" spans="1:6" x14ac:dyDescent="0.25">
      <c r="A1491" t="s">
        <v>2839</v>
      </c>
      <c r="B1491" s="248">
        <v>125</v>
      </c>
      <c r="C1491" t="s">
        <v>4455</v>
      </c>
      <c r="D1491" t="s">
        <v>3204</v>
      </c>
      <c r="E1491" s="249" t="s">
        <v>3043</v>
      </c>
      <c r="F1491">
        <v>1489</v>
      </c>
    </row>
    <row r="1492" spans="1:6" x14ac:dyDescent="0.25">
      <c r="A1492" t="s">
        <v>539</v>
      </c>
      <c r="B1492" s="248">
        <v>63.5</v>
      </c>
      <c r="C1492" t="s">
        <v>4456</v>
      </c>
      <c r="D1492" t="s">
        <v>3204</v>
      </c>
      <c r="E1492" s="249" t="s">
        <v>3044</v>
      </c>
      <c r="F1492">
        <v>1490</v>
      </c>
    </row>
    <row r="1493" spans="1:6" x14ac:dyDescent="0.25">
      <c r="A1493" t="s">
        <v>1531</v>
      </c>
      <c r="B1493" s="248">
        <v>541</v>
      </c>
      <c r="C1493" t="s">
        <v>4457</v>
      </c>
      <c r="D1493" t="s">
        <v>3204</v>
      </c>
      <c r="E1493" s="249" t="s">
        <v>3047</v>
      </c>
      <c r="F1493">
        <v>1491</v>
      </c>
    </row>
    <row r="1494" spans="1:6" x14ac:dyDescent="0.25">
      <c r="A1494" t="s">
        <v>435</v>
      </c>
      <c r="B1494" s="248">
        <v>2535</v>
      </c>
      <c r="C1494" t="s">
        <v>4458</v>
      </c>
      <c r="D1494" t="s">
        <v>3204</v>
      </c>
      <c r="E1494" s="249" t="s">
        <v>3043</v>
      </c>
      <c r="F1494">
        <v>1492</v>
      </c>
    </row>
    <row r="1495" spans="1:6" x14ac:dyDescent="0.25">
      <c r="A1495" t="s">
        <v>1162</v>
      </c>
      <c r="B1495" s="248">
        <v>1861</v>
      </c>
      <c r="C1495" t="s">
        <v>4459</v>
      </c>
      <c r="D1495" t="s">
        <v>3053</v>
      </c>
      <c r="E1495" s="249" t="s">
        <v>3046</v>
      </c>
      <c r="F1495">
        <v>1493</v>
      </c>
    </row>
    <row r="1496" spans="1:6" x14ac:dyDescent="0.25">
      <c r="A1496" t="s">
        <v>1525</v>
      </c>
      <c r="B1496" s="248">
        <v>996.5</v>
      </c>
      <c r="C1496" t="s">
        <v>4460</v>
      </c>
      <c r="D1496" t="s">
        <v>3204</v>
      </c>
      <c r="E1496" s="249" t="s">
        <v>3047</v>
      </c>
      <c r="F1496">
        <v>1494</v>
      </c>
    </row>
    <row r="1497" spans="1:6" x14ac:dyDescent="0.25">
      <c r="A1497" t="s">
        <v>1169</v>
      </c>
      <c r="B1497" s="248">
        <v>3504</v>
      </c>
      <c r="C1497" t="s">
        <v>4461</v>
      </c>
      <c r="D1497" t="s">
        <v>3053</v>
      </c>
      <c r="E1497" s="249" t="s">
        <v>3046</v>
      </c>
      <c r="F1497">
        <v>1495</v>
      </c>
    </row>
    <row r="1498" spans="1:6" x14ac:dyDescent="0.25">
      <c r="A1498" t="s">
        <v>531</v>
      </c>
      <c r="B1498" s="248">
        <v>8.25</v>
      </c>
      <c r="C1498" t="s">
        <v>4462</v>
      </c>
      <c r="D1498" t="s">
        <v>3204</v>
      </c>
      <c r="E1498" s="249" t="s">
        <v>3044</v>
      </c>
      <c r="F1498">
        <v>1496</v>
      </c>
    </row>
    <row r="1499" spans="1:6" x14ac:dyDescent="0.25">
      <c r="A1499" t="s">
        <v>534</v>
      </c>
      <c r="B1499" s="248">
        <v>8.75</v>
      </c>
      <c r="C1499" t="s">
        <v>4463</v>
      </c>
      <c r="D1499" t="s">
        <v>3204</v>
      </c>
      <c r="E1499" s="249" t="s">
        <v>3044</v>
      </c>
      <c r="F1499">
        <v>1497</v>
      </c>
    </row>
    <row r="1500" spans="1:6" x14ac:dyDescent="0.25">
      <c r="A1500" t="s">
        <v>561</v>
      </c>
      <c r="B1500" s="248">
        <v>57.5</v>
      </c>
      <c r="C1500" t="s">
        <v>4464</v>
      </c>
      <c r="D1500" t="s">
        <v>3204</v>
      </c>
      <c r="E1500" s="249" t="s">
        <v>3044</v>
      </c>
      <c r="F1500">
        <v>1498</v>
      </c>
    </row>
    <row r="1501" spans="1:6" x14ac:dyDescent="0.25">
      <c r="A1501" t="s">
        <v>862</v>
      </c>
      <c r="B1501" s="248">
        <v>1407</v>
      </c>
      <c r="C1501" t="s">
        <v>4465</v>
      </c>
      <c r="D1501" t="s">
        <v>3053</v>
      </c>
      <c r="E1501" s="249" t="s">
        <v>3045</v>
      </c>
      <c r="F1501">
        <v>1499</v>
      </c>
    </row>
    <row r="1502" spans="1:6" x14ac:dyDescent="0.25">
      <c r="A1502" t="s">
        <v>2832</v>
      </c>
      <c r="B1502" s="248">
        <v>108.5</v>
      </c>
      <c r="C1502" t="s">
        <v>4466</v>
      </c>
      <c r="D1502" t="s">
        <v>3204</v>
      </c>
      <c r="E1502" s="249" t="s">
        <v>3043</v>
      </c>
      <c r="F1502">
        <v>1500</v>
      </c>
    </row>
    <row r="1503" spans="1:6" x14ac:dyDescent="0.25">
      <c r="A1503" t="s">
        <v>968</v>
      </c>
      <c r="B1503" s="248">
        <v>5168</v>
      </c>
      <c r="C1503" t="s">
        <v>4467</v>
      </c>
      <c r="D1503" t="s">
        <v>3053</v>
      </c>
      <c r="E1503" s="249" t="s">
        <v>3045</v>
      </c>
      <c r="F1503">
        <v>1501</v>
      </c>
    </row>
    <row r="1504" spans="1:6" x14ac:dyDescent="0.25">
      <c r="A1504" t="s">
        <v>735</v>
      </c>
      <c r="B1504" s="248">
        <v>286.5</v>
      </c>
      <c r="C1504" t="s">
        <v>4468</v>
      </c>
      <c r="D1504" t="s">
        <v>3053</v>
      </c>
      <c r="E1504" s="249" t="s">
        <v>3045</v>
      </c>
      <c r="F1504">
        <v>1502</v>
      </c>
    </row>
    <row r="1505" spans="1:6" x14ac:dyDescent="0.25">
      <c r="A1505" t="s">
        <v>2887</v>
      </c>
      <c r="B1505" s="248">
        <v>3770</v>
      </c>
      <c r="C1505" t="s">
        <v>4469</v>
      </c>
      <c r="D1505" t="s">
        <v>3053</v>
      </c>
      <c r="E1505" s="249" t="s">
        <v>3048</v>
      </c>
      <c r="F1505">
        <v>1503</v>
      </c>
    </row>
    <row r="1506" spans="1:6" x14ac:dyDescent="0.25">
      <c r="A1506" t="s">
        <v>1650</v>
      </c>
      <c r="B1506" s="248">
        <v>2800</v>
      </c>
      <c r="C1506" t="s">
        <v>4470</v>
      </c>
      <c r="D1506" t="s">
        <v>3053</v>
      </c>
      <c r="E1506" s="249" t="s">
        <v>3048</v>
      </c>
      <c r="F1506">
        <v>1504</v>
      </c>
    </row>
    <row r="1507" spans="1:6" x14ac:dyDescent="0.25">
      <c r="A1507" t="s">
        <v>1627</v>
      </c>
      <c r="B1507" s="248">
        <v>720.5</v>
      </c>
      <c r="C1507" t="s">
        <v>4471</v>
      </c>
      <c r="D1507" t="s">
        <v>3053</v>
      </c>
      <c r="E1507" s="249" t="s">
        <v>3048</v>
      </c>
      <c r="F1507">
        <v>1505</v>
      </c>
    </row>
    <row r="1508" spans="1:6" x14ac:dyDescent="0.25">
      <c r="A1508" t="s">
        <v>1172</v>
      </c>
      <c r="B1508" s="248">
        <v>5579</v>
      </c>
      <c r="C1508" t="s">
        <v>4472</v>
      </c>
      <c r="D1508" t="s">
        <v>3053</v>
      </c>
      <c r="E1508" s="249" t="s">
        <v>3046</v>
      </c>
      <c r="F1508">
        <v>1506</v>
      </c>
    </row>
    <row r="1509" spans="1:6" x14ac:dyDescent="0.25">
      <c r="A1509" t="s">
        <v>2812</v>
      </c>
      <c r="B1509" s="248">
        <v>93.5</v>
      </c>
      <c r="C1509" t="s">
        <v>4473</v>
      </c>
      <c r="D1509" t="s">
        <v>3204</v>
      </c>
      <c r="E1509" s="249" t="s">
        <v>3043</v>
      </c>
      <c r="F1509">
        <v>1507</v>
      </c>
    </row>
    <row r="1510" spans="1:6" x14ac:dyDescent="0.25">
      <c r="A1510" t="s">
        <v>999</v>
      </c>
      <c r="B1510" s="248">
        <v>1825</v>
      </c>
      <c r="C1510" t="s">
        <v>4474</v>
      </c>
      <c r="D1510" t="s">
        <v>3053</v>
      </c>
      <c r="E1510" s="249" t="s">
        <v>3045</v>
      </c>
      <c r="F1510">
        <v>1508</v>
      </c>
    </row>
    <row r="1511" spans="1:6" x14ac:dyDescent="0.25">
      <c r="A1511" t="s">
        <v>1838</v>
      </c>
      <c r="B1511" s="248">
        <v>6789</v>
      </c>
      <c r="C1511" t="s">
        <v>4475</v>
      </c>
      <c r="D1511" t="s">
        <v>3053</v>
      </c>
      <c r="E1511" s="249" t="s">
        <v>3049</v>
      </c>
      <c r="F1511">
        <v>1509</v>
      </c>
    </row>
    <row r="1512" spans="1:6" x14ac:dyDescent="0.25">
      <c r="A1512" t="s">
        <v>1834</v>
      </c>
      <c r="B1512" s="248">
        <v>2071</v>
      </c>
      <c r="C1512" t="s">
        <v>4476</v>
      </c>
      <c r="D1512" t="s">
        <v>3053</v>
      </c>
      <c r="E1512" s="249" t="s">
        <v>3049</v>
      </c>
      <c r="F1512">
        <v>1510</v>
      </c>
    </row>
    <row r="1513" spans="1:6" x14ac:dyDescent="0.25">
      <c r="A1513" t="s">
        <v>1027</v>
      </c>
      <c r="B1513" s="248">
        <v>2259</v>
      </c>
      <c r="C1513" t="s">
        <v>4477</v>
      </c>
      <c r="D1513" t="s">
        <v>3053</v>
      </c>
      <c r="E1513" s="249" t="s">
        <v>3045</v>
      </c>
      <c r="F1513">
        <v>1511</v>
      </c>
    </row>
    <row r="1514" spans="1:6" x14ac:dyDescent="0.25">
      <c r="A1514" t="s">
        <v>436</v>
      </c>
      <c r="B1514" s="248">
        <v>2535</v>
      </c>
      <c r="C1514" t="s">
        <v>4478</v>
      </c>
      <c r="D1514" t="s">
        <v>3204</v>
      </c>
      <c r="E1514" s="249" t="s">
        <v>3043</v>
      </c>
      <c r="F1514">
        <v>1512</v>
      </c>
    </row>
    <row r="1515" spans="1:6" x14ac:dyDescent="0.25">
      <c r="A1515" t="s">
        <v>1544</v>
      </c>
      <c r="B1515" s="248">
        <v>2908</v>
      </c>
      <c r="C1515" t="s">
        <v>4479</v>
      </c>
      <c r="D1515" t="s">
        <v>3204</v>
      </c>
      <c r="E1515" s="249" t="s">
        <v>3047</v>
      </c>
      <c r="F1515">
        <v>1513</v>
      </c>
    </row>
    <row r="1516" spans="1:6" x14ac:dyDescent="0.25">
      <c r="A1516" t="s">
        <v>2858</v>
      </c>
      <c r="B1516" s="248">
        <v>8453</v>
      </c>
      <c r="C1516" t="s">
        <v>4480</v>
      </c>
      <c r="D1516" t="s">
        <v>3204</v>
      </c>
      <c r="E1516" s="249" t="s">
        <v>3045</v>
      </c>
      <c r="F1516">
        <v>1514</v>
      </c>
    </row>
    <row r="1517" spans="1:6" x14ac:dyDescent="0.25">
      <c r="A1517" t="s">
        <v>1800</v>
      </c>
      <c r="B1517" s="248">
        <v>1414</v>
      </c>
      <c r="C1517" t="s">
        <v>4481</v>
      </c>
      <c r="D1517" t="s">
        <v>3053</v>
      </c>
      <c r="E1517" s="249" t="s">
        <v>3049</v>
      </c>
      <c r="F1517">
        <v>1515</v>
      </c>
    </row>
    <row r="1518" spans="1:6" x14ac:dyDescent="0.25">
      <c r="A1518" t="s">
        <v>1517</v>
      </c>
      <c r="B1518" s="248">
        <v>4153</v>
      </c>
      <c r="C1518" t="s">
        <v>4482</v>
      </c>
      <c r="D1518" t="s">
        <v>3204</v>
      </c>
      <c r="E1518" s="249" t="s">
        <v>3047</v>
      </c>
      <c r="F1518">
        <v>1516</v>
      </c>
    </row>
    <row r="1519" spans="1:6" x14ac:dyDescent="0.25">
      <c r="A1519" t="s">
        <v>1578</v>
      </c>
      <c r="B1519" s="248">
        <v>9924</v>
      </c>
      <c r="C1519" t="s">
        <v>4483</v>
      </c>
      <c r="D1519" t="s">
        <v>3053</v>
      </c>
      <c r="E1519" s="249" t="s">
        <v>3047</v>
      </c>
      <c r="F1519">
        <v>1517</v>
      </c>
    </row>
    <row r="1520" spans="1:6" x14ac:dyDescent="0.25">
      <c r="A1520" t="s">
        <v>461</v>
      </c>
      <c r="B1520" s="248">
        <v>442.5</v>
      </c>
      <c r="C1520" t="s">
        <v>4484</v>
      </c>
      <c r="D1520" t="s">
        <v>3204</v>
      </c>
      <c r="E1520" s="249" t="s">
        <v>3043</v>
      </c>
      <c r="F1520">
        <v>1518</v>
      </c>
    </row>
    <row r="1521" spans="1:6" x14ac:dyDescent="0.25">
      <c r="A1521" t="s">
        <v>2979</v>
      </c>
      <c r="B1521" s="248">
        <v>80.5</v>
      </c>
      <c r="C1521" t="s">
        <v>4485</v>
      </c>
      <c r="D1521" t="s">
        <v>3204</v>
      </c>
      <c r="E1521" s="249" t="s">
        <v>3043</v>
      </c>
      <c r="F1521">
        <v>1519</v>
      </c>
    </row>
    <row r="1522" spans="1:6" x14ac:dyDescent="0.25">
      <c r="A1522" t="s">
        <v>1697</v>
      </c>
      <c r="B1522" s="248">
        <v>1623</v>
      </c>
      <c r="C1522" t="s">
        <v>4486</v>
      </c>
      <c r="D1522" t="s">
        <v>3053</v>
      </c>
      <c r="E1522" s="249" t="s">
        <v>3048</v>
      </c>
      <c r="F1522">
        <v>1520</v>
      </c>
    </row>
    <row r="1523" spans="1:6" x14ac:dyDescent="0.25">
      <c r="A1523" t="s">
        <v>2822</v>
      </c>
      <c r="B1523" s="248">
        <v>93.5</v>
      </c>
      <c r="C1523" t="s">
        <v>4487</v>
      </c>
      <c r="D1523" t="s">
        <v>3204</v>
      </c>
      <c r="E1523" s="249" t="s">
        <v>3043</v>
      </c>
      <c r="F1523">
        <v>1521</v>
      </c>
    </row>
    <row r="1524" spans="1:6" x14ac:dyDescent="0.25">
      <c r="A1524" t="s">
        <v>2850</v>
      </c>
      <c r="B1524" s="248">
        <v>80.5</v>
      </c>
      <c r="C1524" t="s">
        <v>4488</v>
      </c>
      <c r="D1524" t="s">
        <v>3204</v>
      </c>
      <c r="E1524" s="249" t="s">
        <v>3045</v>
      </c>
      <c r="F1524">
        <v>1522</v>
      </c>
    </row>
    <row r="1525" spans="1:6" x14ac:dyDescent="0.25">
      <c r="A1525" t="s">
        <v>927</v>
      </c>
      <c r="B1525" s="248">
        <v>63.5</v>
      </c>
      <c r="C1525" t="s">
        <v>4489</v>
      </c>
      <c r="D1525" t="s">
        <v>3204</v>
      </c>
      <c r="E1525" s="249" t="s">
        <v>3045</v>
      </c>
      <c r="F1525">
        <v>1523</v>
      </c>
    </row>
    <row r="1526" spans="1:6" x14ac:dyDescent="0.25">
      <c r="A1526" t="s">
        <v>1714</v>
      </c>
      <c r="B1526" s="248">
        <v>12763</v>
      </c>
      <c r="C1526" t="s">
        <v>4490</v>
      </c>
      <c r="D1526" t="s">
        <v>3053</v>
      </c>
      <c r="E1526" s="249" t="s">
        <v>3048</v>
      </c>
      <c r="F1526">
        <v>1524</v>
      </c>
    </row>
    <row r="1527" spans="1:6" x14ac:dyDescent="0.25">
      <c r="A1527" t="s">
        <v>2205</v>
      </c>
      <c r="B1527" s="248">
        <v>121</v>
      </c>
      <c r="C1527" t="s">
        <v>4491</v>
      </c>
      <c r="D1527" t="s">
        <v>3204</v>
      </c>
      <c r="E1527" s="249" t="s">
        <v>3016</v>
      </c>
      <c r="F1527">
        <v>1525</v>
      </c>
    </row>
    <row r="1528" spans="1:6" x14ac:dyDescent="0.25">
      <c r="A1528" t="s">
        <v>2206</v>
      </c>
      <c r="B1528" s="248">
        <v>121</v>
      </c>
      <c r="C1528" t="s">
        <v>4492</v>
      </c>
      <c r="D1528" t="s">
        <v>3204</v>
      </c>
      <c r="E1528" s="249" t="s">
        <v>3016</v>
      </c>
      <c r="F1528">
        <v>1526</v>
      </c>
    </row>
    <row r="1529" spans="1:6" x14ac:dyDescent="0.25">
      <c r="A1529" t="s">
        <v>292</v>
      </c>
      <c r="B1529" s="248">
        <v>63.5</v>
      </c>
      <c r="C1529" t="s">
        <v>4493</v>
      </c>
      <c r="D1529" t="s">
        <v>3204</v>
      </c>
      <c r="E1529" s="249" t="s">
        <v>3043</v>
      </c>
      <c r="F1529">
        <v>1527</v>
      </c>
    </row>
    <row r="1530" spans="1:6" x14ac:dyDescent="0.25">
      <c r="A1530" t="s">
        <v>854</v>
      </c>
      <c r="B1530" s="248">
        <v>1218</v>
      </c>
      <c r="C1530" t="s">
        <v>4494</v>
      </c>
      <c r="D1530" t="s">
        <v>3053</v>
      </c>
      <c r="E1530" s="249" t="s">
        <v>3045</v>
      </c>
      <c r="F1530">
        <v>1528</v>
      </c>
    </row>
    <row r="1531" spans="1:6" x14ac:dyDescent="0.25">
      <c r="A1531" t="s">
        <v>2980</v>
      </c>
      <c r="B1531" s="248">
        <v>88.5</v>
      </c>
      <c r="C1531" t="s">
        <v>4495</v>
      </c>
      <c r="D1531" t="s">
        <v>3204</v>
      </c>
      <c r="E1531" s="249" t="s">
        <v>3043</v>
      </c>
      <c r="F1531">
        <v>1529</v>
      </c>
    </row>
    <row r="1532" spans="1:6" x14ac:dyDescent="0.25">
      <c r="A1532" t="s">
        <v>199</v>
      </c>
      <c r="B1532" s="248">
        <v>3137</v>
      </c>
      <c r="C1532" t="s">
        <v>4496</v>
      </c>
      <c r="D1532" t="s">
        <v>3053</v>
      </c>
      <c r="E1532" s="249" t="s">
        <v>3043</v>
      </c>
      <c r="F1532">
        <v>1530</v>
      </c>
    </row>
    <row r="1533" spans="1:6" x14ac:dyDescent="0.25">
      <c r="A1533" t="s">
        <v>1229</v>
      </c>
      <c r="B1533" s="248">
        <v>3334</v>
      </c>
      <c r="C1533" t="s">
        <v>4497</v>
      </c>
      <c r="D1533" t="s">
        <v>3053</v>
      </c>
      <c r="E1533" s="249" t="s">
        <v>3046</v>
      </c>
      <c r="F1533">
        <v>1531</v>
      </c>
    </row>
    <row r="1534" spans="1:6" x14ac:dyDescent="0.25">
      <c r="A1534" t="s">
        <v>1164</v>
      </c>
      <c r="B1534" s="248">
        <v>2701</v>
      </c>
      <c r="C1534" t="s">
        <v>4498</v>
      </c>
      <c r="D1534" t="s">
        <v>3053</v>
      </c>
      <c r="E1534" s="249" t="s">
        <v>3046</v>
      </c>
      <c r="F1534">
        <v>1532</v>
      </c>
    </row>
    <row r="1535" spans="1:6" x14ac:dyDescent="0.25">
      <c r="A1535" t="s">
        <v>1707</v>
      </c>
      <c r="B1535" s="248">
        <v>3554</v>
      </c>
      <c r="C1535" t="s">
        <v>4499</v>
      </c>
      <c r="D1535" t="s">
        <v>3053</v>
      </c>
      <c r="E1535" s="249" t="s">
        <v>3048</v>
      </c>
      <c r="F1535">
        <v>1533</v>
      </c>
    </row>
    <row r="1536" spans="1:6" x14ac:dyDescent="0.25">
      <c r="A1536" t="s">
        <v>1635</v>
      </c>
      <c r="B1536" s="248">
        <v>1071</v>
      </c>
      <c r="C1536" t="s">
        <v>4500</v>
      </c>
      <c r="D1536" t="s">
        <v>3053</v>
      </c>
      <c r="E1536" s="249" t="s">
        <v>3048</v>
      </c>
      <c r="F1536">
        <v>1534</v>
      </c>
    </row>
    <row r="1537" spans="1:6" x14ac:dyDescent="0.25">
      <c r="A1537" t="s">
        <v>1434</v>
      </c>
      <c r="B1537" s="248">
        <v>3239</v>
      </c>
      <c r="C1537" t="s">
        <v>4501</v>
      </c>
      <c r="D1537" t="s">
        <v>3204</v>
      </c>
      <c r="E1537" s="249" t="s">
        <v>3048</v>
      </c>
      <c r="F1537">
        <v>1535</v>
      </c>
    </row>
    <row r="1538" spans="1:6" x14ac:dyDescent="0.25">
      <c r="A1538" t="s">
        <v>545</v>
      </c>
      <c r="B1538" s="248">
        <v>93.5</v>
      </c>
      <c r="C1538" t="s">
        <v>4502</v>
      </c>
      <c r="D1538" t="s">
        <v>3204</v>
      </c>
      <c r="E1538" s="249" t="s">
        <v>3044</v>
      </c>
      <c r="F1538">
        <v>1536</v>
      </c>
    </row>
    <row r="1539" spans="1:6" x14ac:dyDescent="0.25">
      <c r="A1539" t="s">
        <v>250</v>
      </c>
      <c r="B1539" s="248">
        <v>2535</v>
      </c>
      <c r="C1539" t="s">
        <v>4503</v>
      </c>
      <c r="D1539" t="s">
        <v>3053</v>
      </c>
      <c r="E1539" s="249" t="s">
        <v>3043</v>
      </c>
      <c r="F1539">
        <v>1537</v>
      </c>
    </row>
    <row r="1540" spans="1:6" x14ac:dyDescent="0.25">
      <c r="A1540" t="s">
        <v>1742</v>
      </c>
      <c r="B1540" s="248">
        <v>2989</v>
      </c>
      <c r="C1540" t="s">
        <v>4504</v>
      </c>
      <c r="D1540" t="s">
        <v>3204</v>
      </c>
      <c r="E1540" s="249" t="s">
        <v>3048</v>
      </c>
      <c r="F1540">
        <v>1538</v>
      </c>
    </row>
    <row r="1541" spans="1:6" x14ac:dyDescent="0.25">
      <c r="A1541" t="s">
        <v>1545</v>
      </c>
      <c r="B1541" s="248">
        <v>3239</v>
      </c>
      <c r="C1541" t="s">
        <v>4505</v>
      </c>
      <c r="D1541" t="s">
        <v>3204</v>
      </c>
      <c r="E1541" s="249" t="s">
        <v>3047</v>
      </c>
      <c r="F1541">
        <v>1539</v>
      </c>
    </row>
    <row r="1542" spans="1:6" x14ac:dyDescent="0.25">
      <c r="A1542" t="s">
        <v>1700</v>
      </c>
      <c r="B1542" s="248">
        <v>1715</v>
      </c>
      <c r="C1542" t="s">
        <v>4506</v>
      </c>
      <c r="D1542" t="s">
        <v>3053</v>
      </c>
      <c r="E1542" s="249" t="s">
        <v>3048</v>
      </c>
      <c r="F1542">
        <v>1540</v>
      </c>
    </row>
    <row r="1543" spans="1:6" x14ac:dyDescent="0.25">
      <c r="A1543" t="s">
        <v>1846</v>
      </c>
      <c r="B1543" s="248">
        <v>10660</v>
      </c>
      <c r="C1543" t="s">
        <v>4507</v>
      </c>
      <c r="D1543" t="s">
        <v>3053</v>
      </c>
      <c r="E1543" s="249" t="s">
        <v>3049</v>
      </c>
      <c r="F1543">
        <v>1541</v>
      </c>
    </row>
    <row r="1544" spans="1:6" x14ac:dyDescent="0.25">
      <c r="A1544" t="s">
        <v>1277</v>
      </c>
      <c r="B1544" s="248">
        <v>417</v>
      </c>
      <c r="C1544" t="s">
        <v>4508</v>
      </c>
      <c r="D1544" t="s">
        <v>3053</v>
      </c>
      <c r="E1544" s="249" t="s">
        <v>3047</v>
      </c>
      <c r="F1544">
        <v>1542</v>
      </c>
    </row>
    <row r="1545" spans="1:6" x14ac:dyDescent="0.25">
      <c r="A1545" t="s">
        <v>2859</v>
      </c>
      <c r="B1545" s="248">
        <v>83.25</v>
      </c>
      <c r="C1545" t="s">
        <v>4509</v>
      </c>
      <c r="D1545" t="s">
        <v>3204</v>
      </c>
      <c r="E1545" s="249" t="s">
        <v>3045</v>
      </c>
      <c r="F1545">
        <v>1543</v>
      </c>
    </row>
    <row r="1546" spans="1:6" x14ac:dyDescent="0.25">
      <c r="A1546" t="s">
        <v>1735</v>
      </c>
      <c r="B1546" s="248">
        <v>582</v>
      </c>
      <c r="C1546" t="s">
        <v>4510</v>
      </c>
      <c r="D1546" t="s">
        <v>3204</v>
      </c>
      <c r="E1546" s="249" t="s">
        <v>3048</v>
      </c>
      <c r="F1546">
        <v>1544</v>
      </c>
    </row>
    <row r="1547" spans="1:6" x14ac:dyDescent="0.25">
      <c r="A1547" t="s">
        <v>556</v>
      </c>
      <c r="B1547" s="248">
        <v>63.5</v>
      </c>
      <c r="C1547" t="s">
        <v>4511</v>
      </c>
      <c r="D1547" t="s">
        <v>3204</v>
      </c>
      <c r="E1547" s="249" t="s">
        <v>3044</v>
      </c>
      <c r="F1547">
        <v>1545</v>
      </c>
    </row>
    <row r="1548" spans="1:6" x14ac:dyDescent="0.25">
      <c r="A1548" t="s">
        <v>795</v>
      </c>
      <c r="B1548" s="248">
        <v>88.5</v>
      </c>
      <c r="C1548" t="s">
        <v>4512</v>
      </c>
      <c r="D1548" t="s">
        <v>3204</v>
      </c>
      <c r="E1548" s="249" t="s">
        <v>3045</v>
      </c>
      <c r="F1548">
        <v>1546</v>
      </c>
    </row>
    <row r="1549" spans="1:6" x14ac:dyDescent="0.25">
      <c r="A1549" t="s">
        <v>788</v>
      </c>
      <c r="B1549" s="248">
        <v>80.5</v>
      </c>
      <c r="C1549" t="s">
        <v>4513</v>
      </c>
      <c r="D1549" t="s">
        <v>3204</v>
      </c>
      <c r="E1549" s="249" t="s">
        <v>3045</v>
      </c>
      <c r="F1549">
        <v>1547</v>
      </c>
    </row>
    <row r="1550" spans="1:6" x14ac:dyDescent="0.25">
      <c r="A1550" t="s">
        <v>1332</v>
      </c>
      <c r="B1550" s="248">
        <v>996.5</v>
      </c>
      <c r="C1550" t="s">
        <v>4514</v>
      </c>
      <c r="D1550" t="s">
        <v>3204</v>
      </c>
      <c r="E1550" s="249" t="s">
        <v>3048</v>
      </c>
      <c r="F1550">
        <v>1548</v>
      </c>
    </row>
    <row r="1551" spans="1:6" x14ac:dyDescent="0.25">
      <c r="A1551" t="s">
        <v>1758</v>
      </c>
      <c r="B1551" s="248">
        <v>996.5</v>
      </c>
      <c r="C1551" t="s">
        <v>4515</v>
      </c>
      <c r="D1551" t="s">
        <v>3204</v>
      </c>
      <c r="E1551" s="249" t="s">
        <v>3048</v>
      </c>
      <c r="F1551">
        <v>1549</v>
      </c>
    </row>
    <row r="1552" spans="1:6" x14ac:dyDescent="0.25">
      <c r="A1552" t="s">
        <v>6355</v>
      </c>
      <c r="B1552" s="248">
        <v>6299</v>
      </c>
      <c r="C1552" t="s">
        <v>6366</v>
      </c>
      <c r="D1552" t="s">
        <v>3204</v>
      </c>
      <c r="E1552" s="249" t="s">
        <v>3001</v>
      </c>
      <c r="F1552">
        <v>1550</v>
      </c>
    </row>
    <row r="1553" spans="1:6" x14ac:dyDescent="0.25">
      <c r="A1553" t="s">
        <v>1532</v>
      </c>
      <c r="B1553" s="248">
        <v>996.5</v>
      </c>
      <c r="C1553" t="s">
        <v>4516</v>
      </c>
      <c r="D1553" t="s">
        <v>3204</v>
      </c>
      <c r="E1553" s="249" t="s">
        <v>3047</v>
      </c>
      <c r="F1553">
        <v>1551</v>
      </c>
    </row>
    <row r="1554" spans="1:6" x14ac:dyDescent="0.25">
      <c r="A1554" t="s">
        <v>319</v>
      </c>
      <c r="B1554" s="248">
        <v>442.5</v>
      </c>
      <c r="C1554" t="s">
        <v>4517</v>
      </c>
      <c r="D1554" t="s">
        <v>3204</v>
      </c>
      <c r="E1554" s="249" t="s">
        <v>3043</v>
      </c>
      <c r="F1554">
        <v>1552</v>
      </c>
    </row>
    <row r="1555" spans="1:6" x14ac:dyDescent="0.25">
      <c r="A1555" t="s">
        <v>2844</v>
      </c>
      <c r="B1555" s="248">
        <v>316</v>
      </c>
      <c r="C1555" t="s">
        <v>4518</v>
      </c>
      <c r="D1555" t="s">
        <v>3204</v>
      </c>
      <c r="E1555" s="249" t="s">
        <v>3043</v>
      </c>
      <c r="F1555">
        <v>1553</v>
      </c>
    </row>
    <row r="1556" spans="1:6" x14ac:dyDescent="0.25">
      <c r="A1556" t="s">
        <v>325</v>
      </c>
      <c r="B1556" s="248">
        <v>316</v>
      </c>
      <c r="C1556" t="s">
        <v>4519</v>
      </c>
      <c r="D1556" t="s">
        <v>3204</v>
      </c>
      <c r="E1556" s="249" t="s">
        <v>3045</v>
      </c>
      <c r="F1556">
        <v>1554</v>
      </c>
    </row>
    <row r="1557" spans="1:6" x14ac:dyDescent="0.25">
      <c r="A1557" t="s">
        <v>2835</v>
      </c>
      <c r="B1557" s="248">
        <v>2084</v>
      </c>
      <c r="C1557" t="s">
        <v>4520</v>
      </c>
      <c r="D1557" t="s">
        <v>3204</v>
      </c>
      <c r="E1557" s="249" t="s">
        <v>3043</v>
      </c>
      <c r="F1557">
        <v>1555</v>
      </c>
    </row>
    <row r="1558" spans="1:6" x14ac:dyDescent="0.25">
      <c r="A1558" t="s">
        <v>437</v>
      </c>
      <c r="B1558" s="248">
        <v>4682</v>
      </c>
      <c r="C1558" t="s">
        <v>4521</v>
      </c>
      <c r="D1558" t="s">
        <v>3204</v>
      </c>
      <c r="E1558" s="249" t="s">
        <v>3043</v>
      </c>
      <c r="F1558">
        <v>1556</v>
      </c>
    </row>
    <row r="1559" spans="1:6" x14ac:dyDescent="0.25">
      <c r="A1559" t="s">
        <v>341</v>
      </c>
      <c r="B1559" s="248">
        <v>3150</v>
      </c>
      <c r="C1559" t="s">
        <v>4522</v>
      </c>
      <c r="D1559" t="s">
        <v>3204</v>
      </c>
      <c r="E1559" s="249" t="s">
        <v>3045</v>
      </c>
      <c r="F1559">
        <v>1557</v>
      </c>
    </row>
    <row r="1560" spans="1:6" x14ac:dyDescent="0.25">
      <c r="A1560" t="s">
        <v>1345</v>
      </c>
      <c r="B1560" s="248">
        <v>996.5</v>
      </c>
      <c r="C1560" t="s">
        <v>4523</v>
      </c>
      <c r="D1560" t="s">
        <v>3204</v>
      </c>
      <c r="E1560" s="249" t="s">
        <v>3048</v>
      </c>
      <c r="F1560">
        <v>1558</v>
      </c>
    </row>
    <row r="1561" spans="1:6" x14ac:dyDescent="0.25">
      <c r="A1561" t="s">
        <v>1539</v>
      </c>
      <c r="B1561" s="248">
        <v>541</v>
      </c>
      <c r="C1561" t="s">
        <v>4524</v>
      </c>
      <c r="D1561" t="s">
        <v>3204</v>
      </c>
      <c r="E1561" s="249" t="s">
        <v>3047</v>
      </c>
      <c r="F1561">
        <v>1559</v>
      </c>
    </row>
    <row r="1562" spans="1:6" x14ac:dyDescent="0.25">
      <c r="A1562" t="s">
        <v>1716</v>
      </c>
      <c r="B1562" s="248">
        <v>23770</v>
      </c>
      <c r="C1562" t="s">
        <v>4525</v>
      </c>
      <c r="D1562" t="s">
        <v>3053</v>
      </c>
      <c r="E1562" s="249" t="s">
        <v>3048</v>
      </c>
      <c r="F1562">
        <v>1560</v>
      </c>
    </row>
    <row r="1563" spans="1:6" x14ac:dyDescent="0.25">
      <c r="A1563" t="s">
        <v>1734</v>
      </c>
      <c r="B1563" s="248">
        <v>457.5</v>
      </c>
      <c r="C1563" t="s">
        <v>4526</v>
      </c>
      <c r="D1563" t="s">
        <v>3204</v>
      </c>
      <c r="E1563" s="249" t="s">
        <v>3048</v>
      </c>
      <c r="F1563">
        <v>1561</v>
      </c>
    </row>
    <row r="1564" spans="1:6" x14ac:dyDescent="0.25">
      <c r="A1564" t="s">
        <v>1763</v>
      </c>
      <c r="B1564" s="248">
        <v>541</v>
      </c>
      <c r="C1564" t="s">
        <v>4527</v>
      </c>
      <c r="D1564" t="s">
        <v>3204</v>
      </c>
      <c r="E1564" s="249" t="s">
        <v>3048</v>
      </c>
      <c r="F1564">
        <v>1562</v>
      </c>
    </row>
    <row r="1565" spans="1:6" x14ac:dyDescent="0.25">
      <c r="A1565" t="s">
        <v>777</v>
      </c>
      <c r="B1565" s="248">
        <v>57.5</v>
      </c>
      <c r="C1565" t="s">
        <v>4528</v>
      </c>
      <c r="D1565" t="s">
        <v>3204</v>
      </c>
      <c r="E1565" s="249" t="s">
        <v>3045</v>
      </c>
      <c r="F1565">
        <v>1563</v>
      </c>
    </row>
    <row r="1566" spans="1:6" x14ac:dyDescent="0.25">
      <c r="A1566" t="s">
        <v>1662</v>
      </c>
      <c r="B1566" s="248">
        <v>18627</v>
      </c>
      <c r="C1566" t="s">
        <v>4529</v>
      </c>
      <c r="D1566" t="s">
        <v>3053</v>
      </c>
      <c r="E1566" s="249" t="s">
        <v>3048</v>
      </c>
      <c r="F1566">
        <v>1564</v>
      </c>
    </row>
    <row r="1567" spans="1:6" x14ac:dyDescent="0.25">
      <c r="A1567" t="s">
        <v>1432</v>
      </c>
      <c r="B1567" s="248">
        <v>2658</v>
      </c>
      <c r="C1567" t="s">
        <v>4530</v>
      </c>
      <c r="D1567" t="s">
        <v>3204</v>
      </c>
      <c r="E1567" s="249" t="s">
        <v>3048</v>
      </c>
      <c r="F1567">
        <v>1565</v>
      </c>
    </row>
    <row r="1568" spans="1:6" x14ac:dyDescent="0.25">
      <c r="A1568" t="s">
        <v>1741</v>
      </c>
      <c r="B1568" s="248">
        <v>2658</v>
      </c>
      <c r="C1568" t="s">
        <v>4531</v>
      </c>
      <c r="D1568" t="s">
        <v>3204</v>
      </c>
      <c r="E1568" s="249" t="s">
        <v>3048</v>
      </c>
      <c r="F1568">
        <v>1566</v>
      </c>
    </row>
    <row r="1569" spans="1:6" x14ac:dyDescent="0.25">
      <c r="A1569" t="s">
        <v>444</v>
      </c>
      <c r="B1569" s="248">
        <v>316</v>
      </c>
      <c r="C1569" t="s">
        <v>4532</v>
      </c>
      <c r="D1569" t="s">
        <v>3204</v>
      </c>
      <c r="E1569" s="249" t="s">
        <v>3043</v>
      </c>
      <c r="F1569">
        <v>1567</v>
      </c>
    </row>
    <row r="1570" spans="1:6" x14ac:dyDescent="0.25">
      <c r="A1570" t="s">
        <v>144</v>
      </c>
      <c r="B1570" s="248">
        <v>181</v>
      </c>
      <c r="C1570" t="s">
        <v>4533</v>
      </c>
      <c r="D1570" t="s">
        <v>3204</v>
      </c>
      <c r="E1570" s="249" t="s">
        <v>3043</v>
      </c>
      <c r="F1570">
        <v>1568</v>
      </c>
    </row>
    <row r="1571" spans="1:6" x14ac:dyDescent="0.25">
      <c r="A1571" t="s">
        <v>1265</v>
      </c>
      <c r="B1571" s="248">
        <v>3996</v>
      </c>
      <c r="C1571" t="s">
        <v>4534</v>
      </c>
      <c r="D1571" t="s">
        <v>3053</v>
      </c>
      <c r="E1571" s="249" t="s">
        <v>3046</v>
      </c>
      <c r="F1571">
        <v>1569</v>
      </c>
    </row>
    <row r="1572" spans="1:6" x14ac:dyDescent="0.25">
      <c r="A1572" t="s">
        <v>1738</v>
      </c>
      <c r="B1572" s="248">
        <v>1662</v>
      </c>
      <c r="C1572" t="s">
        <v>4535</v>
      </c>
      <c r="D1572" t="s">
        <v>3204</v>
      </c>
      <c r="E1572" s="249" t="s">
        <v>3048</v>
      </c>
      <c r="F1572">
        <v>1570</v>
      </c>
    </row>
    <row r="1573" spans="1:6" x14ac:dyDescent="0.25">
      <c r="A1573" t="s">
        <v>1874</v>
      </c>
      <c r="B1573" s="248">
        <v>8030</v>
      </c>
      <c r="C1573" t="s">
        <v>4536</v>
      </c>
      <c r="D1573" t="s">
        <v>3053</v>
      </c>
      <c r="E1573" s="249" t="s">
        <v>3049</v>
      </c>
      <c r="F1573">
        <v>1571</v>
      </c>
    </row>
    <row r="1574" spans="1:6" x14ac:dyDescent="0.25">
      <c r="A1574" t="s">
        <v>314</v>
      </c>
      <c r="B1574" s="248">
        <v>2084</v>
      </c>
      <c r="C1574" t="s">
        <v>4537</v>
      </c>
      <c r="D1574" t="s">
        <v>3204</v>
      </c>
      <c r="E1574" s="249" t="s">
        <v>3045</v>
      </c>
      <c r="F1574">
        <v>1572</v>
      </c>
    </row>
    <row r="1575" spans="1:6" x14ac:dyDescent="0.25">
      <c r="A1575" t="s">
        <v>1452</v>
      </c>
      <c r="B1575" s="248">
        <v>2908</v>
      </c>
      <c r="C1575" t="s">
        <v>4538</v>
      </c>
      <c r="D1575" t="s">
        <v>3204</v>
      </c>
      <c r="E1575" s="249" t="s">
        <v>3048</v>
      </c>
      <c r="F1575">
        <v>1573</v>
      </c>
    </row>
    <row r="1576" spans="1:6" x14ac:dyDescent="0.25">
      <c r="A1576" t="s">
        <v>1660</v>
      </c>
      <c r="B1576" s="248">
        <v>11644</v>
      </c>
      <c r="C1576" t="s">
        <v>4539</v>
      </c>
      <c r="D1576" t="s">
        <v>3053</v>
      </c>
      <c r="E1576" s="249" t="s">
        <v>3048</v>
      </c>
      <c r="F1576">
        <v>1574</v>
      </c>
    </row>
    <row r="1577" spans="1:6" x14ac:dyDescent="0.25">
      <c r="A1577" t="s">
        <v>1238</v>
      </c>
      <c r="B1577" s="248">
        <v>2823</v>
      </c>
      <c r="C1577" t="s">
        <v>4540</v>
      </c>
      <c r="D1577" t="s">
        <v>3053</v>
      </c>
      <c r="E1577" s="249" t="s">
        <v>3046</v>
      </c>
      <c r="F1577">
        <v>1575</v>
      </c>
    </row>
    <row r="1578" spans="1:6" x14ac:dyDescent="0.25">
      <c r="A1578" t="s">
        <v>1733</v>
      </c>
      <c r="B1578" s="248">
        <v>457.5</v>
      </c>
      <c r="C1578" t="s">
        <v>4541</v>
      </c>
      <c r="D1578" t="s">
        <v>3204</v>
      </c>
      <c r="E1578" s="249" t="s">
        <v>3048</v>
      </c>
      <c r="F1578">
        <v>1576</v>
      </c>
    </row>
    <row r="1579" spans="1:6" x14ac:dyDescent="0.25">
      <c r="A1579" t="s">
        <v>1042</v>
      </c>
      <c r="B1579" s="248">
        <v>16982</v>
      </c>
      <c r="C1579" t="s">
        <v>4542</v>
      </c>
      <c r="D1579" t="s">
        <v>3053</v>
      </c>
      <c r="E1579" s="249" t="s">
        <v>3045</v>
      </c>
      <c r="F1579">
        <v>1577</v>
      </c>
    </row>
    <row r="1580" spans="1:6" x14ac:dyDescent="0.25">
      <c r="A1580" t="s">
        <v>2845</v>
      </c>
      <c r="B1580" s="248">
        <v>204</v>
      </c>
      <c r="C1580" t="s">
        <v>4543</v>
      </c>
      <c r="D1580" t="s">
        <v>3204</v>
      </c>
      <c r="E1580" s="249" t="s">
        <v>3043</v>
      </c>
      <c r="F1580">
        <v>1578</v>
      </c>
    </row>
    <row r="1581" spans="1:6" x14ac:dyDescent="0.25">
      <c r="A1581" t="s">
        <v>386</v>
      </c>
      <c r="B1581" s="248">
        <v>1097</v>
      </c>
      <c r="C1581" t="s">
        <v>4544</v>
      </c>
      <c r="D1581" t="s">
        <v>3053</v>
      </c>
      <c r="E1581" s="249" t="s">
        <v>3043</v>
      </c>
      <c r="F1581">
        <v>1579</v>
      </c>
    </row>
    <row r="1582" spans="1:6" x14ac:dyDescent="0.25">
      <c r="A1582" t="s">
        <v>320</v>
      </c>
      <c r="B1582" s="248">
        <v>442.5</v>
      </c>
      <c r="C1582" t="s">
        <v>4545</v>
      </c>
      <c r="D1582" t="s">
        <v>3204</v>
      </c>
      <c r="E1582" s="249" t="s">
        <v>3043</v>
      </c>
      <c r="F1582">
        <v>1580</v>
      </c>
    </row>
    <row r="1583" spans="1:6" x14ac:dyDescent="0.25">
      <c r="A1583" t="s">
        <v>2765</v>
      </c>
      <c r="B1583" s="248">
        <v>176.5</v>
      </c>
      <c r="C1583" t="s">
        <v>4546</v>
      </c>
      <c r="D1583" t="s">
        <v>4547</v>
      </c>
      <c r="E1583" s="249" t="s">
        <v>3036</v>
      </c>
      <c r="F1583">
        <v>1581</v>
      </c>
    </row>
    <row r="1584" spans="1:6" x14ac:dyDescent="0.25">
      <c r="A1584" t="s">
        <v>2766</v>
      </c>
      <c r="B1584" s="248">
        <v>213.5</v>
      </c>
      <c r="C1584" t="s">
        <v>4548</v>
      </c>
      <c r="D1584" t="s">
        <v>4547</v>
      </c>
      <c r="E1584" s="249" t="s">
        <v>3036</v>
      </c>
      <c r="F1584">
        <v>1582</v>
      </c>
    </row>
    <row r="1585" spans="1:6" x14ac:dyDescent="0.25">
      <c r="A1585" t="s">
        <v>2767</v>
      </c>
      <c r="B1585" s="248">
        <v>213.5</v>
      </c>
      <c r="C1585" t="s">
        <v>4549</v>
      </c>
      <c r="D1585" t="s">
        <v>4547</v>
      </c>
      <c r="E1585" s="249" t="s">
        <v>3036</v>
      </c>
      <c r="F1585">
        <v>1583</v>
      </c>
    </row>
    <row r="1586" spans="1:6" x14ac:dyDescent="0.25">
      <c r="A1586" t="s">
        <v>2770</v>
      </c>
      <c r="B1586" s="248">
        <v>305.5</v>
      </c>
      <c r="C1586" t="s">
        <v>4550</v>
      </c>
      <c r="D1586" t="s">
        <v>4547</v>
      </c>
      <c r="E1586" s="249" t="s">
        <v>3036</v>
      </c>
      <c r="F1586">
        <v>1584</v>
      </c>
    </row>
    <row r="1587" spans="1:6" x14ac:dyDescent="0.25">
      <c r="A1587" t="s">
        <v>2771</v>
      </c>
      <c r="B1587" s="248">
        <v>360</v>
      </c>
      <c r="C1587" t="s">
        <v>4551</v>
      </c>
      <c r="D1587" t="s">
        <v>4547</v>
      </c>
      <c r="E1587" s="249" t="s">
        <v>3036</v>
      </c>
      <c r="F1587">
        <v>1585</v>
      </c>
    </row>
    <row r="1588" spans="1:6" x14ac:dyDescent="0.25">
      <c r="A1588" t="s">
        <v>2772</v>
      </c>
      <c r="B1588" s="248">
        <v>431</v>
      </c>
      <c r="C1588" t="s">
        <v>4552</v>
      </c>
      <c r="D1588" t="s">
        <v>4547</v>
      </c>
      <c r="E1588" s="249" t="s">
        <v>3036</v>
      </c>
      <c r="F1588">
        <v>1586</v>
      </c>
    </row>
    <row r="1589" spans="1:6" x14ac:dyDescent="0.25">
      <c r="A1589" t="s">
        <v>2773</v>
      </c>
      <c r="B1589" s="248">
        <v>690</v>
      </c>
      <c r="C1589" t="s">
        <v>4553</v>
      </c>
      <c r="D1589" t="s">
        <v>4547</v>
      </c>
      <c r="E1589" s="249" t="s">
        <v>3036</v>
      </c>
      <c r="F1589">
        <v>1587</v>
      </c>
    </row>
    <row r="1590" spans="1:6" x14ac:dyDescent="0.25">
      <c r="A1590" t="s">
        <v>2774</v>
      </c>
      <c r="B1590" s="248">
        <v>1072</v>
      </c>
      <c r="C1590" t="s">
        <v>4554</v>
      </c>
      <c r="D1590" t="s">
        <v>4547</v>
      </c>
      <c r="E1590" s="249" t="s">
        <v>3036</v>
      </c>
      <c r="F1590">
        <v>1588</v>
      </c>
    </row>
    <row r="1591" spans="1:6" x14ac:dyDescent="0.25">
      <c r="A1591" t="s">
        <v>2775</v>
      </c>
      <c r="B1591" s="248">
        <v>29454</v>
      </c>
      <c r="C1591" t="s">
        <v>4562</v>
      </c>
      <c r="D1591" t="s">
        <v>4547</v>
      </c>
      <c r="E1591" s="249" t="s">
        <v>3036</v>
      </c>
      <c r="F1591">
        <v>1589</v>
      </c>
    </row>
    <row r="1592" spans="1:6" x14ac:dyDescent="0.25">
      <c r="A1592" t="s">
        <v>1744</v>
      </c>
      <c r="B1592" s="248">
        <v>541</v>
      </c>
      <c r="C1592" t="s">
        <v>4563</v>
      </c>
      <c r="D1592" t="s">
        <v>3204</v>
      </c>
      <c r="E1592" s="249" t="s">
        <v>3048</v>
      </c>
      <c r="F1592">
        <v>1590</v>
      </c>
    </row>
    <row r="1593" spans="1:6" x14ac:dyDescent="0.25">
      <c r="A1593" t="s">
        <v>1757</v>
      </c>
      <c r="B1593" s="248">
        <v>541</v>
      </c>
      <c r="C1593" t="s">
        <v>4564</v>
      </c>
      <c r="D1593" t="s">
        <v>3204</v>
      </c>
      <c r="E1593" s="249" t="s">
        <v>3048</v>
      </c>
      <c r="F1593">
        <v>1591</v>
      </c>
    </row>
    <row r="1594" spans="1:6" x14ac:dyDescent="0.25">
      <c r="A1594" t="s">
        <v>2821</v>
      </c>
      <c r="B1594" s="248">
        <v>88.5</v>
      </c>
      <c r="C1594" t="s">
        <v>4565</v>
      </c>
      <c r="D1594" t="s">
        <v>3204</v>
      </c>
      <c r="E1594" s="249" t="s">
        <v>3043</v>
      </c>
      <c r="F1594">
        <v>1592</v>
      </c>
    </row>
    <row r="1595" spans="1:6" x14ac:dyDescent="0.25">
      <c r="A1595" t="s">
        <v>221</v>
      </c>
      <c r="B1595" s="248">
        <v>494.5</v>
      </c>
      <c r="C1595" t="s">
        <v>4567</v>
      </c>
      <c r="D1595" t="s">
        <v>3053</v>
      </c>
      <c r="E1595" s="249" t="s">
        <v>3043</v>
      </c>
      <c r="F1595">
        <v>1593</v>
      </c>
    </row>
    <row r="1596" spans="1:6" x14ac:dyDescent="0.25">
      <c r="A1596" t="s">
        <v>226</v>
      </c>
      <c r="B1596" s="248">
        <v>502</v>
      </c>
      <c r="C1596" t="s">
        <v>4568</v>
      </c>
      <c r="D1596" t="s">
        <v>3053</v>
      </c>
      <c r="E1596" s="249" t="s">
        <v>3043</v>
      </c>
      <c r="F1596">
        <v>1594</v>
      </c>
    </row>
    <row r="1597" spans="1:6" x14ac:dyDescent="0.25">
      <c r="A1597" t="s">
        <v>1754</v>
      </c>
      <c r="B1597" s="248">
        <v>2908</v>
      </c>
      <c r="C1597" t="s">
        <v>4569</v>
      </c>
      <c r="D1597" t="s">
        <v>3204</v>
      </c>
      <c r="E1597" s="249" t="s">
        <v>3048</v>
      </c>
      <c r="F1597">
        <v>1595</v>
      </c>
    </row>
    <row r="1598" spans="1:6" x14ac:dyDescent="0.25">
      <c r="A1598" t="s">
        <v>1780</v>
      </c>
      <c r="B1598" s="248">
        <v>9160</v>
      </c>
      <c r="C1598" t="s">
        <v>4570</v>
      </c>
      <c r="D1598" t="s">
        <v>3053</v>
      </c>
      <c r="E1598" s="249" t="s">
        <v>3048</v>
      </c>
      <c r="F1598">
        <v>1596</v>
      </c>
    </row>
    <row r="1599" spans="1:6" x14ac:dyDescent="0.25">
      <c r="A1599" t="s">
        <v>2288</v>
      </c>
      <c r="B1599" s="248">
        <v>31076</v>
      </c>
      <c r="C1599" t="s">
        <v>4571</v>
      </c>
      <c r="D1599" t="s">
        <v>3246</v>
      </c>
      <c r="E1599" s="249" t="s">
        <v>3018</v>
      </c>
      <c r="F1599">
        <v>1597</v>
      </c>
    </row>
    <row r="1600" spans="1:6" x14ac:dyDescent="0.25">
      <c r="A1600" t="s">
        <v>1237</v>
      </c>
      <c r="B1600" s="248">
        <v>2823</v>
      </c>
      <c r="C1600" t="s">
        <v>4572</v>
      </c>
      <c r="D1600" t="s">
        <v>3053</v>
      </c>
      <c r="E1600" s="249" t="s">
        <v>3046</v>
      </c>
      <c r="F1600">
        <v>1598</v>
      </c>
    </row>
    <row r="1601" spans="1:6" x14ac:dyDescent="0.25">
      <c r="A1601" t="s">
        <v>1761</v>
      </c>
      <c r="B1601" s="248">
        <v>2908</v>
      </c>
      <c r="C1601" t="s">
        <v>4573</v>
      </c>
      <c r="D1601" t="s">
        <v>3204</v>
      </c>
      <c r="E1601" s="249" t="s">
        <v>3048</v>
      </c>
      <c r="F1601">
        <v>1599</v>
      </c>
    </row>
    <row r="1602" spans="1:6" x14ac:dyDescent="0.25">
      <c r="A1602" t="s">
        <v>1619</v>
      </c>
      <c r="B1602" s="248">
        <v>747.5</v>
      </c>
      <c r="C1602" t="s">
        <v>4574</v>
      </c>
      <c r="D1602" t="s">
        <v>3204</v>
      </c>
      <c r="E1602" s="249" t="s">
        <v>3047</v>
      </c>
      <c r="F1602">
        <v>1600</v>
      </c>
    </row>
    <row r="1603" spans="1:6" x14ac:dyDescent="0.25">
      <c r="A1603" t="s">
        <v>340</v>
      </c>
      <c r="B1603" s="248">
        <v>1943</v>
      </c>
      <c r="C1603" t="s">
        <v>4575</v>
      </c>
      <c r="D1603" t="s">
        <v>3204</v>
      </c>
      <c r="E1603" s="249" t="s">
        <v>3045</v>
      </c>
      <c r="F1603">
        <v>1601</v>
      </c>
    </row>
    <row r="1604" spans="1:6" x14ac:dyDescent="0.25">
      <c r="A1604" t="s">
        <v>154</v>
      </c>
      <c r="B1604" s="248">
        <v>266.5</v>
      </c>
      <c r="C1604" t="s">
        <v>4576</v>
      </c>
      <c r="D1604" t="s">
        <v>3204</v>
      </c>
      <c r="E1604" s="249" t="s">
        <v>3043</v>
      </c>
      <c r="F1604">
        <v>1602</v>
      </c>
    </row>
    <row r="1605" spans="1:6" x14ac:dyDescent="0.25">
      <c r="A1605" t="s">
        <v>1425</v>
      </c>
      <c r="B1605" s="248">
        <v>1662</v>
      </c>
      <c r="C1605" t="s">
        <v>4577</v>
      </c>
      <c r="D1605" t="s">
        <v>3204</v>
      </c>
      <c r="E1605" s="249" t="s">
        <v>3047</v>
      </c>
      <c r="F1605">
        <v>1603</v>
      </c>
    </row>
    <row r="1606" spans="1:6" x14ac:dyDescent="0.25">
      <c r="A1606" t="s">
        <v>1547</v>
      </c>
      <c r="B1606" s="248">
        <v>996.5</v>
      </c>
      <c r="C1606" t="s">
        <v>4578</v>
      </c>
      <c r="D1606" t="s">
        <v>3204</v>
      </c>
      <c r="E1606" s="249" t="s">
        <v>3047</v>
      </c>
      <c r="F1606">
        <v>1604</v>
      </c>
    </row>
    <row r="1607" spans="1:6" x14ac:dyDescent="0.25">
      <c r="A1607" t="s">
        <v>1386</v>
      </c>
      <c r="B1607" s="248">
        <v>2438</v>
      </c>
      <c r="C1607" t="s">
        <v>4579</v>
      </c>
      <c r="D1607" t="s">
        <v>3053</v>
      </c>
      <c r="E1607" s="249" t="s">
        <v>3047</v>
      </c>
      <c r="F1607">
        <v>1605</v>
      </c>
    </row>
    <row r="1608" spans="1:6" x14ac:dyDescent="0.25">
      <c r="A1608" t="s">
        <v>376</v>
      </c>
      <c r="B1608" s="248">
        <v>507.5</v>
      </c>
      <c r="C1608" t="s">
        <v>4580</v>
      </c>
      <c r="D1608" t="s">
        <v>3053</v>
      </c>
      <c r="E1608" s="249" t="s">
        <v>3043</v>
      </c>
      <c r="F1608">
        <v>1606</v>
      </c>
    </row>
    <row r="1609" spans="1:6" x14ac:dyDescent="0.25">
      <c r="A1609" t="s">
        <v>462</v>
      </c>
      <c r="B1609" s="248">
        <v>108.5</v>
      </c>
      <c r="C1609" t="s">
        <v>4581</v>
      </c>
      <c r="D1609" t="s">
        <v>3204</v>
      </c>
      <c r="E1609" s="249" t="s">
        <v>3043</v>
      </c>
      <c r="F1609">
        <v>1607</v>
      </c>
    </row>
    <row r="1610" spans="1:6" x14ac:dyDescent="0.25">
      <c r="A1610" t="s">
        <v>380</v>
      </c>
      <c r="B1610" s="248">
        <v>574.5</v>
      </c>
      <c r="C1610" t="s">
        <v>4582</v>
      </c>
      <c r="D1610" t="s">
        <v>3053</v>
      </c>
      <c r="E1610" s="249" t="s">
        <v>3043</v>
      </c>
      <c r="F1610">
        <v>1608</v>
      </c>
    </row>
    <row r="1611" spans="1:6" x14ac:dyDescent="0.25">
      <c r="A1611" t="s">
        <v>2828</v>
      </c>
      <c r="B1611" s="248">
        <v>92</v>
      </c>
      <c r="C1611" t="s">
        <v>4583</v>
      </c>
      <c r="D1611" t="s">
        <v>3204</v>
      </c>
      <c r="E1611" s="249" t="s">
        <v>3043</v>
      </c>
      <c r="F1611">
        <v>1609</v>
      </c>
    </row>
    <row r="1612" spans="1:6" x14ac:dyDescent="0.25">
      <c r="A1612" t="s">
        <v>2831</v>
      </c>
      <c r="B1612" s="248">
        <v>92</v>
      </c>
      <c r="C1612" t="s">
        <v>4584</v>
      </c>
      <c r="D1612" t="s">
        <v>3204</v>
      </c>
      <c r="E1612" s="249" t="s">
        <v>3043</v>
      </c>
      <c r="F1612">
        <v>1610</v>
      </c>
    </row>
    <row r="1613" spans="1:6" x14ac:dyDescent="0.25">
      <c r="A1613" t="s">
        <v>657</v>
      </c>
      <c r="B1613" s="248">
        <v>138</v>
      </c>
      <c r="C1613" t="s">
        <v>4585</v>
      </c>
      <c r="D1613" t="s">
        <v>3053</v>
      </c>
      <c r="E1613" s="249" t="s">
        <v>3045</v>
      </c>
      <c r="F1613">
        <v>1611</v>
      </c>
    </row>
    <row r="1614" spans="1:6" x14ac:dyDescent="0.25">
      <c r="A1614" t="s">
        <v>843</v>
      </c>
      <c r="B1614" s="248">
        <v>1050</v>
      </c>
      <c r="C1614" t="s">
        <v>4586</v>
      </c>
      <c r="D1614" t="s">
        <v>3053</v>
      </c>
      <c r="E1614" s="249" t="s">
        <v>3045</v>
      </c>
      <c r="F1614">
        <v>1612</v>
      </c>
    </row>
    <row r="1615" spans="1:6" x14ac:dyDescent="0.25">
      <c r="A1615" t="s">
        <v>1180</v>
      </c>
      <c r="B1615" s="248">
        <v>10714</v>
      </c>
      <c r="C1615" t="s">
        <v>4587</v>
      </c>
      <c r="D1615" t="s">
        <v>3053</v>
      </c>
      <c r="E1615" s="249" t="s">
        <v>3046</v>
      </c>
      <c r="F1615">
        <v>1613</v>
      </c>
    </row>
    <row r="1616" spans="1:6" x14ac:dyDescent="0.25">
      <c r="A1616" t="s">
        <v>702</v>
      </c>
      <c r="B1616" s="248">
        <v>63.5</v>
      </c>
      <c r="C1616" t="s">
        <v>4588</v>
      </c>
      <c r="D1616" t="s">
        <v>3204</v>
      </c>
      <c r="E1616" s="249" t="s">
        <v>3045</v>
      </c>
      <c r="F1616">
        <v>1614</v>
      </c>
    </row>
    <row r="1617" spans="1:6" x14ac:dyDescent="0.25">
      <c r="A1617" t="s">
        <v>439</v>
      </c>
      <c r="B1617" s="248">
        <v>7858</v>
      </c>
      <c r="C1617" t="s">
        <v>4589</v>
      </c>
      <c r="D1617" t="s">
        <v>3204</v>
      </c>
      <c r="E1617" s="249" t="s">
        <v>3043</v>
      </c>
      <c r="F1617">
        <v>1615</v>
      </c>
    </row>
    <row r="1618" spans="1:6" x14ac:dyDescent="0.25">
      <c r="A1618" t="s">
        <v>2830</v>
      </c>
      <c r="B1618" s="248">
        <v>83.25</v>
      </c>
      <c r="C1618" t="s">
        <v>4590</v>
      </c>
      <c r="D1618" t="s">
        <v>3204</v>
      </c>
      <c r="E1618" s="249" t="s">
        <v>3043</v>
      </c>
      <c r="F1618">
        <v>1616</v>
      </c>
    </row>
    <row r="1619" spans="1:6" x14ac:dyDescent="0.25">
      <c r="A1619" t="s">
        <v>1155</v>
      </c>
      <c r="B1619" s="248">
        <v>2108</v>
      </c>
      <c r="C1619" t="s">
        <v>4591</v>
      </c>
      <c r="D1619" t="s">
        <v>3053</v>
      </c>
      <c r="E1619" s="249" t="s">
        <v>3046</v>
      </c>
      <c r="F1619">
        <v>1617</v>
      </c>
    </row>
    <row r="1620" spans="1:6" x14ac:dyDescent="0.25">
      <c r="A1620" t="s">
        <v>1776</v>
      </c>
      <c r="B1620" s="248">
        <v>3770</v>
      </c>
      <c r="C1620" t="s">
        <v>4592</v>
      </c>
      <c r="D1620" t="s">
        <v>3053</v>
      </c>
      <c r="E1620" s="249" t="s">
        <v>3048</v>
      </c>
      <c r="F1620">
        <v>1618</v>
      </c>
    </row>
    <row r="1621" spans="1:6" x14ac:dyDescent="0.25">
      <c r="A1621" t="s">
        <v>2838</v>
      </c>
      <c r="B1621" s="248">
        <v>108.5</v>
      </c>
      <c r="C1621" t="s">
        <v>4593</v>
      </c>
      <c r="D1621" t="s">
        <v>3204</v>
      </c>
      <c r="E1621" s="249" t="s">
        <v>3043</v>
      </c>
      <c r="F1621">
        <v>1619</v>
      </c>
    </row>
    <row r="1622" spans="1:6" x14ac:dyDescent="0.25">
      <c r="A1622" t="s">
        <v>457</v>
      </c>
      <c r="B1622" s="248">
        <v>204</v>
      </c>
      <c r="C1622" t="s">
        <v>4594</v>
      </c>
      <c r="D1622" t="s">
        <v>3204</v>
      </c>
      <c r="E1622" s="249" t="s">
        <v>3043</v>
      </c>
      <c r="F1622">
        <v>1620</v>
      </c>
    </row>
    <row r="1623" spans="1:6" x14ac:dyDescent="0.25">
      <c r="A1623" t="s">
        <v>2823</v>
      </c>
      <c r="B1623" s="248">
        <v>88.5</v>
      </c>
      <c r="C1623" t="s">
        <v>4595</v>
      </c>
      <c r="D1623" t="s">
        <v>3204</v>
      </c>
      <c r="E1623" s="249" t="s">
        <v>3043</v>
      </c>
      <c r="F1623">
        <v>1621</v>
      </c>
    </row>
    <row r="1624" spans="1:6" x14ac:dyDescent="0.25">
      <c r="A1624" t="s">
        <v>1209</v>
      </c>
      <c r="B1624" s="248">
        <v>2191</v>
      </c>
      <c r="C1624" t="s">
        <v>4596</v>
      </c>
      <c r="D1624" t="s">
        <v>3053</v>
      </c>
      <c r="E1624" s="249" t="s">
        <v>3046</v>
      </c>
      <c r="F1624">
        <v>1622</v>
      </c>
    </row>
    <row r="1625" spans="1:6" x14ac:dyDescent="0.25">
      <c r="A1625" t="s">
        <v>3039</v>
      </c>
      <c r="B1625" s="248">
        <v>56410</v>
      </c>
      <c r="C1625" t="s">
        <v>4597</v>
      </c>
      <c r="D1625" t="s">
        <v>3246</v>
      </c>
      <c r="E1625" s="249" t="s">
        <v>3018</v>
      </c>
      <c r="F1625">
        <v>1623</v>
      </c>
    </row>
    <row r="1626" spans="1:6" x14ac:dyDescent="0.25">
      <c r="A1626" t="s">
        <v>1054</v>
      </c>
      <c r="B1626" s="248">
        <v>285.5</v>
      </c>
      <c r="C1626" t="s">
        <v>4598</v>
      </c>
      <c r="D1626" t="s">
        <v>3053</v>
      </c>
      <c r="E1626" s="249" t="s">
        <v>3046</v>
      </c>
      <c r="F1626">
        <v>1624</v>
      </c>
    </row>
    <row r="1627" spans="1:6" x14ac:dyDescent="0.25">
      <c r="A1627" t="s">
        <v>844</v>
      </c>
      <c r="B1627" s="248">
        <v>1050</v>
      </c>
      <c r="C1627" t="s">
        <v>4599</v>
      </c>
      <c r="D1627" t="s">
        <v>3053</v>
      </c>
      <c r="E1627" s="249" t="s">
        <v>3045</v>
      </c>
      <c r="F1627">
        <v>1625</v>
      </c>
    </row>
    <row r="1628" spans="1:6" x14ac:dyDescent="0.25">
      <c r="A1628" t="s">
        <v>344</v>
      </c>
      <c r="B1628" s="248">
        <v>92</v>
      </c>
      <c r="C1628" t="s">
        <v>4600</v>
      </c>
      <c r="D1628" t="s">
        <v>3204</v>
      </c>
      <c r="E1628" s="249" t="s">
        <v>3043</v>
      </c>
      <c r="F1628">
        <v>1626</v>
      </c>
    </row>
    <row r="1629" spans="1:6" x14ac:dyDescent="0.25">
      <c r="A1629" t="s">
        <v>1634</v>
      </c>
      <c r="B1629" s="248">
        <v>1071</v>
      </c>
      <c r="C1629" t="s">
        <v>4602</v>
      </c>
      <c r="D1629" t="s">
        <v>3053</v>
      </c>
      <c r="E1629" s="249" t="s">
        <v>3048</v>
      </c>
      <c r="F1629">
        <v>1627</v>
      </c>
    </row>
    <row r="1630" spans="1:6" x14ac:dyDescent="0.25">
      <c r="A1630" t="s">
        <v>1448</v>
      </c>
      <c r="B1630" s="248">
        <v>2908</v>
      </c>
      <c r="C1630" t="s">
        <v>4603</v>
      </c>
      <c r="D1630" t="s">
        <v>3204</v>
      </c>
      <c r="E1630" s="249" t="s">
        <v>3048</v>
      </c>
      <c r="F1630">
        <v>1628</v>
      </c>
    </row>
    <row r="1631" spans="1:6" x14ac:dyDescent="0.25">
      <c r="A1631" t="s">
        <v>327</v>
      </c>
      <c r="B1631" s="248">
        <v>1246</v>
      </c>
      <c r="C1631" t="s">
        <v>4604</v>
      </c>
      <c r="D1631" t="s">
        <v>3204</v>
      </c>
      <c r="E1631" s="249" t="s">
        <v>3045</v>
      </c>
      <c r="F1631">
        <v>1629</v>
      </c>
    </row>
    <row r="1632" spans="1:6" x14ac:dyDescent="0.25">
      <c r="A1632" t="s">
        <v>2983</v>
      </c>
      <c r="B1632" s="248">
        <v>73.5</v>
      </c>
      <c r="C1632" t="s">
        <v>4605</v>
      </c>
      <c r="D1632" t="s">
        <v>3204</v>
      </c>
      <c r="E1632" s="249" t="s">
        <v>3043</v>
      </c>
      <c r="F1632">
        <v>1630</v>
      </c>
    </row>
    <row r="1633" spans="1:6" x14ac:dyDescent="0.25">
      <c r="A1633" t="s">
        <v>560</v>
      </c>
      <c r="B1633" s="248">
        <v>125</v>
      </c>
      <c r="C1633" t="s">
        <v>4606</v>
      </c>
      <c r="D1633" t="s">
        <v>3204</v>
      </c>
      <c r="E1633" s="249" t="s">
        <v>3044</v>
      </c>
      <c r="F1633">
        <v>1631</v>
      </c>
    </row>
    <row r="1634" spans="1:6" x14ac:dyDescent="0.25">
      <c r="A1634" t="s">
        <v>1466</v>
      </c>
      <c r="B1634" s="248">
        <v>990</v>
      </c>
      <c r="C1634" t="s">
        <v>4607</v>
      </c>
      <c r="D1634" t="s">
        <v>3053</v>
      </c>
      <c r="E1634" s="249" t="s">
        <v>3047</v>
      </c>
      <c r="F1634">
        <v>1632</v>
      </c>
    </row>
    <row r="1635" spans="1:6" x14ac:dyDescent="0.25">
      <c r="A1635" t="s">
        <v>964</v>
      </c>
      <c r="B1635" s="248">
        <v>4428</v>
      </c>
      <c r="C1635" t="s">
        <v>4608</v>
      </c>
      <c r="D1635" t="s">
        <v>3053</v>
      </c>
      <c r="E1635" s="249" t="s">
        <v>3045</v>
      </c>
      <c r="F1635">
        <v>1633</v>
      </c>
    </row>
    <row r="1636" spans="1:6" x14ac:dyDescent="0.25">
      <c r="A1636" t="s">
        <v>955</v>
      </c>
      <c r="B1636" s="248">
        <v>1774</v>
      </c>
      <c r="C1636" t="s">
        <v>4609</v>
      </c>
      <c r="D1636" t="s">
        <v>3053</v>
      </c>
      <c r="E1636" s="249" t="s">
        <v>3045</v>
      </c>
      <c r="F1636">
        <v>1634</v>
      </c>
    </row>
    <row r="1637" spans="1:6" x14ac:dyDescent="0.25">
      <c r="A1637" t="s">
        <v>1751</v>
      </c>
      <c r="B1637" s="248">
        <v>541</v>
      </c>
      <c r="C1637" t="s">
        <v>4610</v>
      </c>
      <c r="D1637" t="s">
        <v>3204</v>
      </c>
      <c r="E1637" s="249" t="s">
        <v>3048</v>
      </c>
      <c r="F1637">
        <v>1635</v>
      </c>
    </row>
    <row r="1638" spans="1:6" x14ac:dyDescent="0.25">
      <c r="A1638" t="s">
        <v>1019</v>
      </c>
      <c r="B1638" s="248">
        <v>100</v>
      </c>
      <c r="C1638" t="s">
        <v>4611</v>
      </c>
      <c r="D1638" t="s">
        <v>3204</v>
      </c>
      <c r="E1638" s="249" t="s">
        <v>3045</v>
      </c>
      <c r="F1638">
        <v>1636</v>
      </c>
    </row>
    <row r="1639" spans="1:6" x14ac:dyDescent="0.25">
      <c r="A1639" t="s">
        <v>2807</v>
      </c>
      <c r="B1639" s="248">
        <v>57.5</v>
      </c>
      <c r="C1639" t="s">
        <v>4612</v>
      </c>
      <c r="D1639" t="s">
        <v>3204</v>
      </c>
      <c r="E1639" s="249" t="s">
        <v>3043</v>
      </c>
      <c r="F1639">
        <v>1637</v>
      </c>
    </row>
    <row r="1640" spans="1:6" x14ac:dyDescent="0.25">
      <c r="A1640" t="s">
        <v>1389</v>
      </c>
      <c r="B1640" s="248">
        <v>4724</v>
      </c>
      <c r="C1640" t="s">
        <v>4613</v>
      </c>
      <c r="D1640" t="s">
        <v>3053</v>
      </c>
      <c r="E1640" s="249" t="s">
        <v>3047</v>
      </c>
      <c r="F1640">
        <v>1638</v>
      </c>
    </row>
    <row r="1641" spans="1:6" x14ac:dyDescent="0.25">
      <c r="A1641" t="s">
        <v>1181</v>
      </c>
      <c r="B1641" s="248">
        <v>10714</v>
      </c>
      <c r="C1641" t="s">
        <v>4614</v>
      </c>
      <c r="D1641" t="s">
        <v>3053</v>
      </c>
      <c r="E1641" s="249" t="s">
        <v>3046</v>
      </c>
      <c r="F1641">
        <v>1639</v>
      </c>
    </row>
    <row r="1642" spans="1:6" x14ac:dyDescent="0.25">
      <c r="A1642" t="s">
        <v>1246</v>
      </c>
      <c r="B1642" s="248">
        <v>6824</v>
      </c>
      <c r="C1642" t="s">
        <v>4615</v>
      </c>
      <c r="D1642" t="s">
        <v>3053</v>
      </c>
      <c r="E1642" s="249" t="s">
        <v>3046</v>
      </c>
      <c r="F1642">
        <v>1640</v>
      </c>
    </row>
    <row r="1643" spans="1:6" x14ac:dyDescent="0.25">
      <c r="A1643" t="s">
        <v>1781</v>
      </c>
      <c r="B1643" s="248">
        <v>9160</v>
      </c>
      <c r="C1643" t="s">
        <v>4616</v>
      </c>
      <c r="D1643" t="s">
        <v>3053</v>
      </c>
      <c r="E1643" s="249" t="s">
        <v>3048</v>
      </c>
      <c r="F1643">
        <v>1641</v>
      </c>
    </row>
    <row r="1644" spans="1:6" x14ac:dyDescent="0.25">
      <c r="A1644" t="s">
        <v>970</v>
      </c>
      <c r="B1644" s="248">
        <v>9341</v>
      </c>
      <c r="C1644" t="s">
        <v>4617</v>
      </c>
      <c r="D1644" t="s">
        <v>3053</v>
      </c>
      <c r="E1644" s="249" t="s">
        <v>3045</v>
      </c>
      <c r="F1644">
        <v>1642</v>
      </c>
    </row>
    <row r="1645" spans="1:6" x14ac:dyDescent="0.25">
      <c r="A1645" t="s">
        <v>1644</v>
      </c>
      <c r="B1645" s="248">
        <v>1327</v>
      </c>
      <c r="C1645" t="s">
        <v>4618</v>
      </c>
      <c r="D1645" t="s">
        <v>3053</v>
      </c>
      <c r="E1645" s="249" t="s">
        <v>3048</v>
      </c>
      <c r="F1645">
        <v>1643</v>
      </c>
    </row>
    <row r="1646" spans="1:6" x14ac:dyDescent="0.25">
      <c r="A1646" t="s">
        <v>697</v>
      </c>
      <c r="B1646" s="248">
        <v>80.5</v>
      </c>
      <c r="C1646" t="s">
        <v>4619</v>
      </c>
      <c r="D1646" t="s">
        <v>3204</v>
      </c>
      <c r="E1646" s="249" t="s">
        <v>3045</v>
      </c>
      <c r="F1646">
        <v>1644</v>
      </c>
    </row>
    <row r="1647" spans="1:6" x14ac:dyDescent="0.25">
      <c r="A1647" t="s">
        <v>456</v>
      </c>
      <c r="B1647" s="248">
        <v>83.25</v>
      </c>
      <c r="C1647" t="s">
        <v>4620</v>
      </c>
      <c r="D1647" t="s">
        <v>3204</v>
      </c>
      <c r="E1647" s="249" t="s">
        <v>3043</v>
      </c>
      <c r="F1647">
        <v>1645</v>
      </c>
    </row>
    <row r="1648" spans="1:6" x14ac:dyDescent="0.25">
      <c r="A1648" t="s">
        <v>230</v>
      </c>
      <c r="B1648" s="248">
        <v>237</v>
      </c>
      <c r="C1648" t="s">
        <v>4621</v>
      </c>
      <c r="D1648" t="s">
        <v>3053</v>
      </c>
      <c r="E1648" s="249" t="s">
        <v>3043</v>
      </c>
      <c r="F1648">
        <v>1646</v>
      </c>
    </row>
    <row r="1649" spans="1:6" x14ac:dyDescent="0.25">
      <c r="A1649" t="s">
        <v>1189</v>
      </c>
      <c r="B1649" s="248">
        <v>22301</v>
      </c>
      <c r="C1649" t="s">
        <v>4622</v>
      </c>
      <c r="D1649" t="s">
        <v>3053</v>
      </c>
      <c r="E1649" s="249" t="s">
        <v>3046</v>
      </c>
      <c r="F1649">
        <v>1647</v>
      </c>
    </row>
    <row r="1650" spans="1:6" x14ac:dyDescent="0.25">
      <c r="A1650" t="s">
        <v>2824</v>
      </c>
      <c r="B1650" s="248">
        <v>73.5</v>
      </c>
      <c r="C1650" t="s">
        <v>4623</v>
      </c>
      <c r="D1650" t="s">
        <v>3204</v>
      </c>
      <c r="E1650" s="249" t="s">
        <v>3043</v>
      </c>
      <c r="F1650">
        <v>1648</v>
      </c>
    </row>
    <row r="1651" spans="1:6" x14ac:dyDescent="0.25">
      <c r="A1651" t="s">
        <v>189</v>
      </c>
      <c r="B1651" s="248">
        <v>558.5</v>
      </c>
      <c r="C1651" t="s">
        <v>4624</v>
      </c>
      <c r="D1651" t="s">
        <v>3053</v>
      </c>
      <c r="E1651" s="249" t="s">
        <v>3043</v>
      </c>
      <c r="F1651">
        <v>1649</v>
      </c>
    </row>
    <row r="1652" spans="1:6" x14ac:dyDescent="0.25">
      <c r="A1652" t="s">
        <v>912</v>
      </c>
      <c r="B1652" s="248">
        <v>1690</v>
      </c>
      <c r="C1652" t="s">
        <v>4625</v>
      </c>
      <c r="D1652" t="s">
        <v>3053</v>
      </c>
      <c r="E1652" s="249" t="s">
        <v>3045</v>
      </c>
      <c r="F1652">
        <v>1650</v>
      </c>
    </row>
    <row r="1653" spans="1:6" x14ac:dyDescent="0.25">
      <c r="A1653" t="s">
        <v>920</v>
      </c>
      <c r="B1653" s="248">
        <v>8350</v>
      </c>
      <c r="C1653" t="s">
        <v>4626</v>
      </c>
      <c r="D1653" t="s">
        <v>3053</v>
      </c>
      <c r="E1653" s="249" t="s">
        <v>3045</v>
      </c>
      <c r="F1653">
        <v>1651</v>
      </c>
    </row>
    <row r="1654" spans="1:6" x14ac:dyDescent="0.25">
      <c r="A1654" t="s">
        <v>922</v>
      </c>
      <c r="B1654" s="248">
        <v>12505</v>
      </c>
      <c r="C1654" t="s">
        <v>4627</v>
      </c>
      <c r="D1654" t="s">
        <v>3053</v>
      </c>
      <c r="E1654" s="249" t="s">
        <v>3045</v>
      </c>
      <c r="F1654">
        <v>1652</v>
      </c>
    </row>
    <row r="1655" spans="1:6" x14ac:dyDescent="0.25">
      <c r="A1655" t="s">
        <v>377</v>
      </c>
      <c r="B1655" s="248">
        <v>507.5</v>
      </c>
      <c r="C1655" t="s">
        <v>4628</v>
      </c>
      <c r="D1655" t="s">
        <v>3053</v>
      </c>
      <c r="E1655" s="249" t="s">
        <v>3043</v>
      </c>
      <c r="F1655">
        <v>1653</v>
      </c>
    </row>
    <row r="1656" spans="1:6" x14ac:dyDescent="0.25">
      <c r="A1656" t="s">
        <v>2019</v>
      </c>
      <c r="B1656" s="248">
        <v>2243</v>
      </c>
      <c r="C1656" t="s">
        <v>4629</v>
      </c>
      <c r="D1656" t="s">
        <v>3204</v>
      </c>
      <c r="E1656" s="249" t="s">
        <v>3001</v>
      </c>
      <c r="F1656">
        <v>1654</v>
      </c>
    </row>
    <row r="1657" spans="1:6" x14ac:dyDescent="0.25">
      <c r="A1657" t="s">
        <v>1830</v>
      </c>
      <c r="B1657" s="248">
        <v>1230</v>
      </c>
      <c r="C1657" t="s">
        <v>4630</v>
      </c>
      <c r="D1657" t="s">
        <v>3053</v>
      </c>
      <c r="E1657" s="249" t="s">
        <v>3049</v>
      </c>
      <c r="F1657">
        <v>1655</v>
      </c>
    </row>
    <row r="1658" spans="1:6" x14ac:dyDescent="0.25">
      <c r="A1658" t="s">
        <v>2843</v>
      </c>
      <c r="B1658" s="248">
        <v>204</v>
      </c>
      <c r="C1658" t="s">
        <v>4631</v>
      </c>
      <c r="D1658" t="s">
        <v>3204</v>
      </c>
      <c r="E1658" s="249" t="s">
        <v>3043</v>
      </c>
      <c r="F1658">
        <v>1656</v>
      </c>
    </row>
    <row r="1659" spans="1:6" x14ac:dyDescent="0.25">
      <c r="A1659" t="s">
        <v>459</v>
      </c>
      <c r="B1659" s="248">
        <v>125</v>
      </c>
      <c r="C1659" t="s">
        <v>4632</v>
      </c>
      <c r="D1659" t="s">
        <v>3204</v>
      </c>
      <c r="E1659" s="249" t="s">
        <v>3043</v>
      </c>
      <c r="F1659">
        <v>1657</v>
      </c>
    </row>
    <row r="1660" spans="1:6" x14ac:dyDescent="0.25">
      <c r="A1660" t="s">
        <v>105</v>
      </c>
      <c r="B1660" s="248">
        <v>2.75</v>
      </c>
      <c r="C1660" t="s">
        <v>4633</v>
      </c>
      <c r="D1660" t="s">
        <v>3204</v>
      </c>
      <c r="E1660" s="249" t="s">
        <v>3044</v>
      </c>
      <c r="F1660">
        <v>1658</v>
      </c>
    </row>
    <row r="1661" spans="1:6" x14ac:dyDescent="0.25">
      <c r="A1661" t="s">
        <v>772</v>
      </c>
      <c r="B1661" s="248">
        <v>17.5</v>
      </c>
      <c r="C1661" t="s">
        <v>4634</v>
      </c>
      <c r="D1661" t="s">
        <v>3204</v>
      </c>
      <c r="E1661" s="249" t="s">
        <v>3045</v>
      </c>
      <c r="F1661">
        <v>1659</v>
      </c>
    </row>
    <row r="1662" spans="1:6" x14ac:dyDescent="0.25">
      <c r="A1662" t="s">
        <v>1309</v>
      </c>
      <c r="B1662" s="248">
        <v>6</v>
      </c>
      <c r="C1662" t="s">
        <v>4635</v>
      </c>
      <c r="D1662" t="s">
        <v>3204</v>
      </c>
      <c r="E1662" s="249" t="s">
        <v>3047</v>
      </c>
      <c r="F1662">
        <v>1660</v>
      </c>
    </row>
    <row r="1663" spans="1:6" x14ac:dyDescent="0.25">
      <c r="A1663" t="s">
        <v>1316</v>
      </c>
      <c r="B1663" s="248">
        <v>6</v>
      </c>
      <c r="C1663" t="s">
        <v>4636</v>
      </c>
      <c r="D1663" t="s">
        <v>3204</v>
      </c>
      <c r="E1663" s="249" t="s">
        <v>3047</v>
      </c>
      <c r="F1663">
        <v>1661</v>
      </c>
    </row>
    <row r="1664" spans="1:6" x14ac:dyDescent="0.25">
      <c r="A1664" t="s">
        <v>169</v>
      </c>
      <c r="B1664" s="248">
        <v>6</v>
      </c>
      <c r="C1664" t="s">
        <v>4637</v>
      </c>
      <c r="D1664" t="s">
        <v>3204</v>
      </c>
      <c r="E1664" s="249" t="s">
        <v>3045</v>
      </c>
      <c r="F1664">
        <v>1662</v>
      </c>
    </row>
    <row r="1665" spans="1:6" x14ac:dyDescent="0.25">
      <c r="A1665" t="s">
        <v>1362</v>
      </c>
      <c r="B1665" s="248">
        <v>25.5</v>
      </c>
      <c r="C1665" t="s">
        <v>4638</v>
      </c>
      <c r="D1665" t="s">
        <v>3204</v>
      </c>
      <c r="E1665" s="249" t="s">
        <v>3047</v>
      </c>
      <c r="F1665">
        <v>1663</v>
      </c>
    </row>
    <row r="1666" spans="1:6" x14ac:dyDescent="0.25">
      <c r="A1666" t="s">
        <v>1810</v>
      </c>
      <c r="B1666" s="248">
        <v>2.75</v>
      </c>
      <c r="C1666" t="s">
        <v>4639</v>
      </c>
      <c r="D1666" t="s">
        <v>3204</v>
      </c>
      <c r="E1666" s="249" t="s">
        <v>3049</v>
      </c>
      <c r="F1666">
        <v>1664</v>
      </c>
    </row>
    <row r="1667" spans="1:6" x14ac:dyDescent="0.25">
      <c r="A1667" t="s">
        <v>1815</v>
      </c>
      <c r="B1667" s="248">
        <v>2.75</v>
      </c>
      <c r="C1667" t="s">
        <v>4640</v>
      </c>
      <c r="D1667" t="s">
        <v>3204</v>
      </c>
      <c r="E1667" s="249" t="s">
        <v>3049</v>
      </c>
      <c r="F1667">
        <v>1665</v>
      </c>
    </row>
    <row r="1668" spans="1:6" x14ac:dyDescent="0.25">
      <c r="A1668" t="s">
        <v>836</v>
      </c>
      <c r="B1668" s="248">
        <v>7</v>
      </c>
      <c r="C1668" t="s">
        <v>4641</v>
      </c>
      <c r="D1668" t="s">
        <v>3204</v>
      </c>
      <c r="E1668" s="249" t="s">
        <v>3046</v>
      </c>
      <c r="F1668">
        <v>1666</v>
      </c>
    </row>
    <row r="1669" spans="1:6" x14ac:dyDescent="0.25">
      <c r="A1669" t="s">
        <v>203</v>
      </c>
      <c r="B1669" s="248">
        <v>5.75</v>
      </c>
      <c r="C1669" t="s">
        <v>4642</v>
      </c>
      <c r="D1669" t="s">
        <v>3204</v>
      </c>
      <c r="E1669" s="249" t="s">
        <v>3043</v>
      </c>
      <c r="F1669">
        <v>1667</v>
      </c>
    </row>
    <row r="1670" spans="1:6" x14ac:dyDescent="0.25">
      <c r="A1670" t="s">
        <v>106</v>
      </c>
      <c r="B1670" s="248">
        <v>6</v>
      </c>
      <c r="C1670" t="s">
        <v>4643</v>
      </c>
      <c r="D1670" t="s">
        <v>3204</v>
      </c>
      <c r="E1670" s="249" t="s">
        <v>3044</v>
      </c>
      <c r="F1670">
        <v>1668</v>
      </c>
    </row>
    <row r="1671" spans="1:6" x14ac:dyDescent="0.25">
      <c r="A1671" t="s">
        <v>925</v>
      </c>
      <c r="B1671" s="248">
        <v>6.25</v>
      </c>
      <c r="C1671" t="s">
        <v>4644</v>
      </c>
      <c r="D1671" t="s">
        <v>3204</v>
      </c>
      <c r="E1671" s="249" t="s">
        <v>3045</v>
      </c>
      <c r="F1671">
        <v>1669</v>
      </c>
    </row>
    <row r="1672" spans="1:6" x14ac:dyDescent="0.25">
      <c r="A1672" t="s">
        <v>824</v>
      </c>
      <c r="B1672" s="248">
        <v>83.25</v>
      </c>
      <c r="C1672" t="s">
        <v>4645</v>
      </c>
      <c r="D1672" t="s">
        <v>3204</v>
      </c>
      <c r="E1672" s="249" t="s">
        <v>3045</v>
      </c>
      <c r="F1672">
        <v>1670</v>
      </c>
    </row>
    <row r="1673" spans="1:6" x14ac:dyDescent="0.25">
      <c r="A1673" t="s">
        <v>107</v>
      </c>
      <c r="B1673" s="248">
        <v>6</v>
      </c>
      <c r="C1673" t="s">
        <v>4646</v>
      </c>
      <c r="D1673" t="s">
        <v>3204</v>
      </c>
      <c r="E1673" s="249" t="s">
        <v>3044</v>
      </c>
      <c r="F1673">
        <v>1671</v>
      </c>
    </row>
    <row r="1674" spans="1:6" x14ac:dyDescent="0.25">
      <c r="A1674" t="s">
        <v>279</v>
      </c>
      <c r="B1674" s="248">
        <v>8.5</v>
      </c>
      <c r="C1674" t="s">
        <v>4647</v>
      </c>
      <c r="D1674" t="s">
        <v>3204</v>
      </c>
      <c r="E1674" s="249" t="s">
        <v>3043</v>
      </c>
      <c r="F1674">
        <v>1672</v>
      </c>
    </row>
    <row r="1675" spans="1:6" x14ac:dyDescent="0.25">
      <c r="A1675" t="s">
        <v>206</v>
      </c>
      <c r="B1675" s="248">
        <v>8.5</v>
      </c>
      <c r="C1675" t="s">
        <v>4648</v>
      </c>
      <c r="D1675" t="s">
        <v>3204</v>
      </c>
      <c r="E1675" s="249" t="s">
        <v>3045</v>
      </c>
      <c r="F1675">
        <v>1673</v>
      </c>
    </row>
    <row r="1676" spans="1:6" x14ac:dyDescent="0.25">
      <c r="A1676" t="s">
        <v>1950</v>
      </c>
      <c r="B1676" s="248">
        <v>166.5</v>
      </c>
      <c r="C1676" t="s">
        <v>4649</v>
      </c>
      <c r="D1676" t="s">
        <v>3204</v>
      </c>
      <c r="E1676" s="249" t="s">
        <v>3001</v>
      </c>
      <c r="F1676">
        <v>1674</v>
      </c>
    </row>
    <row r="1677" spans="1:6" x14ac:dyDescent="0.25">
      <c r="A1677" t="s">
        <v>1317</v>
      </c>
      <c r="B1677" s="248">
        <v>6</v>
      </c>
      <c r="C1677" t="s">
        <v>4650</v>
      </c>
      <c r="D1677" t="s">
        <v>3204</v>
      </c>
      <c r="E1677" s="249" t="s">
        <v>3047</v>
      </c>
      <c r="F1677">
        <v>1675</v>
      </c>
    </row>
    <row r="1678" spans="1:6" x14ac:dyDescent="0.25">
      <c r="A1678" t="s">
        <v>1310</v>
      </c>
      <c r="B1678" s="248">
        <v>6</v>
      </c>
      <c r="C1678" t="s">
        <v>4651</v>
      </c>
      <c r="D1678" t="s">
        <v>3204</v>
      </c>
      <c r="E1678" s="249" t="s">
        <v>3047</v>
      </c>
      <c r="F1678">
        <v>1676</v>
      </c>
    </row>
    <row r="1679" spans="1:6" x14ac:dyDescent="0.25">
      <c r="A1679" t="s">
        <v>170</v>
      </c>
      <c r="B1679" s="248">
        <v>7.75</v>
      </c>
      <c r="C1679" t="s">
        <v>4652</v>
      </c>
      <c r="D1679" t="s">
        <v>3204</v>
      </c>
      <c r="E1679" s="249" t="s">
        <v>3045</v>
      </c>
      <c r="F1679">
        <v>1677</v>
      </c>
    </row>
    <row r="1680" spans="1:6" x14ac:dyDescent="0.25">
      <c r="A1680" t="s">
        <v>1993</v>
      </c>
      <c r="B1680" s="248">
        <v>6.25</v>
      </c>
      <c r="C1680" t="s">
        <v>4653</v>
      </c>
      <c r="D1680" t="s">
        <v>3204</v>
      </c>
      <c r="E1680" s="249" t="s">
        <v>3001</v>
      </c>
      <c r="F1680">
        <v>1678</v>
      </c>
    </row>
    <row r="1681" spans="1:6" x14ac:dyDescent="0.25">
      <c r="A1681" t="s">
        <v>1985</v>
      </c>
      <c r="B1681" s="248">
        <v>166.5</v>
      </c>
      <c r="C1681" t="s">
        <v>4654</v>
      </c>
      <c r="D1681" t="s">
        <v>3204</v>
      </c>
      <c r="E1681" s="249" t="s">
        <v>3001</v>
      </c>
      <c r="F1681">
        <v>1679</v>
      </c>
    </row>
    <row r="1682" spans="1:6" x14ac:dyDescent="0.25">
      <c r="A1682" t="s">
        <v>1811</v>
      </c>
      <c r="B1682" s="248">
        <v>6</v>
      </c>
      <c r="C1682" t="s">
        <v>4655</v>
      </c>
      <c r="D1682" t="s">
        <v>3204</v>
      </c>
      <c r="E1682" s="249" t="s">
        <v>3049</v>
      </c>
      <c r="F1682">
        <v>1680</v>
      </c>
    </row>
    <row r="1683" spans="1:6" x14ac:dyDescent="0.25">
      <c r="A1683" t="s">
        <v>1816</v>
      </c>
      <c r="B1683" s="248">
        <v>6</v>
      </c>
      <c r="C1683" t="s">
        <v>4656</v>
      </c>
      <c r="D1683" t="s">
        <v>3204</v>
      </c>
      <c r="E1683" s="249" t="s">
        <v>3049</v>
      </c>
      <c r="F1683">
        <v>1681</v>
      </c>
    </row>
    <row r="1684" spans="1:6" x14ac:dyDescent="0.25">
      <c r="A1684" t="s">
        <v>838</v>
      </c>
      <c r="B1684" s="248">
        <v>33.25</v>
      </c>
      <c r="C1684" t="s">
        <v>4657</v>
      </c>
      <c r="D1684" t="s">
        <v>3204</v>
      </c>
      <c r="E1684" s="249" t="s">
        <v>3046</v>
      </c>
      <c r="F1684">
        <v>1682</v>
      </c>
    </row>
    <row r="1685" spans="1:6" x14ac:dyDescent="0.25">
      <c r="A1685" t="s">
        <v>2010</v>
      </c>
      <c r="B1685" s="248">
        <v>26.75</v>
      </c>
      <c r="C1685" t="s">
        <v>4658</v>
      </c>
      <c r="D1685" t="s">
        <v>3204</v>
      </c>
      <c r="E1685" s="249" t="s">
        <v>3001</v>
      </c>
      <c r="F1685">
        <v>1683</v>
      </c>
    </row>
    <row r="1686" spans="1:6" x14ac:dyDescent="0.25">
      <c r="A1686" t="s">
        <v>773</v>
      </c>
      <c r="B1686" s="248">
        <v>19.5</v>
      </c>
      <c r="C1686" t="s">
        <v>4659</v>
      </c>
      <c r="D1686" t="s">
        <v>3204</v>
      </c>
      <c r="E1686" s="249" t="s">
        <v>3045</v>
      </c>
      <c r="F1686">
        <v>1684</v>
      </c>
    </row>
    <row r="1687" spans="1:6" x14ac:dyDescent="0.25">
      <c r="A1687" t="s">
        <v>825</v>
      </c>
      <c r="B1687" s="248">
        <v>83.25</v>
      </c>
      <c r="C1687" t="s">
        <v>4660</v>
      </c>
      <c r="D1687" t="s">
        <v>3204</v>
      </c>
      <c r="E1687" s="249" t="s">
        <v>3045</v>
      </c>
      <c r="F1687">
        <v>1685</v>
      </c>
    </row>
    <row r="1688" spans="1:6" x14ac:dyDescent="0.25">
      <c r="A1688" t="s">
        <v>205</v>
      </c>
      <c r="B1688" s="248">
        <v>10.75</v>
      </c>
      <c r="C1688" t="s">
        <v>4661</v>
      </c>
      <c r="D1688" t="s">
        <v>3204</v>
      </c>
      <c r="E1688" s="249" t="s">
        <v>3043</v>
      </c>
      <c r="F1688">
        <v>1686</v>
      </c>
    </row>
    <row r="1689" spans="1:6" x14ac:dyDescent="0.25">
      <c r="A1689" t="s">
        <v>108</v>
      </c>
      <c r="B1689" s="248">
        <v>7.75</v>
      </c>
      <c r="C1689" t="s">
        <v>4662</v>
      </c>
      <c r="D1689" t="s">
        <v>3204</v>
      </c>
      <c r="E1689" s="249" t="s">
        <v>3044</v>
      </c>
      <c r="F1689">
        <v>1687</v>
      </c>
    </row>
    <row r="1690" spans="1:6" x14ac:dyDescent="0.25">
      <c r="A1690" t="s">
        <v>689</v>
      </c>
      <c r="B1690" s="248">
        <v>7</v>
      </c>
      <c r="C1690" t="s">
        <v>4663</v>
      </c>
      <c r="D1690" t="s">
        <v>3204</v>
      </c>
      <c r="E1690" s="249" t="s">
        <v>3045</v>
      </c>
      <c r="F1690">
        <v>1688</v>
      </c>
    </row>
    <row r="1691" spans="1:6" x14ac:dyDescent="0.25">
      <c r="A1691" t="s">
        <v>1311</v>
      </c>
      <c r="B1691" s="248">
        <v>8.5</v>
      </c>
      <c r="C1691" t="s">
        <v>4664</v>
      </c>
      <c r="D1691" t="s">
        <v>3204</v>
      </c>
      <c r="E1691" s="249" t="s">
        <v>3047</v>
      </c>
      <c r="F1691">
        <v>1689</v>
      </c>
    </row>
    <row r="1692" spans="1:6" x14ac:dyDescent="0.25">
      <c r="A1692" t="s">
        <v>1318</v>
      </c>
      <c r="B1692" s="248">
        <v>8.5</v>
      </c>
      <c r="C1692" t="s">
        <v>4665</v>
      </c>
      <c r="D1692" t="s">
        <v>3204</v>
      </c>
      <c r="E1692" s="249" t="s">
        <v>3047</v>
      </c>
      <c r="F1692">
        <v>1690</v>
      </c>
    </row>
    <row r="1693" spans="1:6" x14ac:dyDescent="0.25">
      <c r="A1693" t="s">
        <v>364</v>
      </c>
      <c r="B1693" s="248">
        <v>7</v>
      </c>
      <c r="C1693" t="s">
        <v>4666</v>
      </c>
      <c r="D1693" t="s">
        <v>3204</v>
      </c>
      <c r="E1693" s="249" t="s">
        <v>3045</v>
      </c>
      <c r="F1693">
        <v>1691</v>
      </c>
    </row>
    <row r="1694" spans="1:6" x14ac:dyDescent="0.25">
      <c r="A1694" t="s">
        <v>1812</v>
      </c>
      <c r="B1694" s="248">
        <v>7.75</v>
      </c>
      <c r="C1694" t="s">
        <v>4667</v>
      </c>
      <c r="D1694" t="s">
        <v>3204</v>
      </c>
      <c r="E1694" s="249" t="s">
        <v>3049</v>
      </c>
      <c r="F1694">
        <v>1692</v>
      </c>
    </row>
    <row r="1695" spans="1:6" x14ac:dyDescent="0.25">
      <c r="A1695" t="s">
        <v>1817</v>
      </c>
      <c r="B1695" s="248">
        <v>8.5</v>
      </c>
      <c r="C1695" t="s">
        <v>4668</v>
      </c>
      <c r="D1695" t="s">
        <v>3204</v>
      </c>
      <c r="E1695" s="249" t="s">
        <v>3049</v>
      </c>
      <c r="F1695">
        <v>1693</v>
      </c>
    </row>
    <row r="1696" spans="1:6" x14ac:dyDescent="0.25">
      <c r="A1696" t="s">
        <v>837</v>
      </c>
      <c r="B1696" s="248">
        <v>20</v>
      </c>
      <c r="C1696" t="s">
        <v>4669</v>
      </c>
      <c r="D1696" t="s">
        <v>3204</v>
      </c>
      <c r="E1696" s="249" t="s">
        <v>3045</v>
      </c>
      <c r="F1696">
        <v>1694</v>
      </c>
    </row>
    <row r="1697" spans="1:6" x14ac:dyDescent="0.25">
      <c r="A1697" t="s">
        <v>110</v>
      </c>
      <c r="B1697" s="248">
        <v>9</v>
      </c>
      <c r="C1697" t="s">
        <v>4670</v>
      </c>
      <c r="D1697" t="s">
        <v>3204</v>
      </c>
      <c r="E1697" s="249" t="s">
        <v>3043</v>
      </c>
      <c r="F1697">
        <v>1695</v>
      </c>
    </row>
    <row r="1698" spans="1:6" x14ac:dyDescent="0.25">
      <c r="A1698" t="s">
        <v>690</v>
      </c>
      <c r="B1698" s="248">
        <v>7</v>
      </c>
      <c r="C1698" t="s">
        <v>4671</v>
      </c>
      <c r="D1698" t="s">
        <v>3204</v>
      </c>
      <c r="E1698" s="249" t="s">
        <v>3045</v>
      </c>
      <c r="F1698">
        <v>1696</v>
      </c>
    </row>
    <row r="1699" spans="1:6" x14ac:dyDescent="0.25">
      <c r="A1699" t="s">
        <v>827</v>
      </c>
      <c r="B1699" s="248">
        <v>85.5</v>
      </c>
      <c r="C1699" t="s">
        <v>4672</v>
      </c>
      <c r="D1699" t="s">
        <v>3204</v>
      </c>
      <c r="E1699" s="249" t="s">
        <v>3045</v>
      </c>
      <c r="F1699">
        <v>1697</v>
      </c>
    </row>
    <row r="1700" spans="1:6" x14ac:dyDescent="0.25">
      <c r="A1700" t="s">
        <v>1952</v>
      </c>
      <c r="B1700" s="248">
        <v>217</v>
      </c>
      <c r="C1700" t="s">
        <v>4673</v>
      </c>
      <c r="D1700" t="s">
        <v>3204</v>
      </c>
      <c r="E1700" s="249" t="s">
        <v>3001</v>
      </c>
      <c r="F1700">
        <v>1698</v>
      </c>
    </row>
    <row r="1701" spans="1:6" x14ac:dyDescent="0.25">
      <c r="A1701" t="s">
        <v>466</v>
      </c>
      <c r="B1701" s="248">
        <v>7</v>
      </c>
      <c r="C1701" t="s">
        <v>4674</v>
      </c>
      <c r="D1701" t="s">
        <v>3204</v>
      </c>
      <c r="E1701" s="249" t="s">
        <v>3043</v>
      </c>
      <c r="F1701">
        <v>1699</v>
      </c>
    </row>
    <row r="1702" spans="1:6" x14ac:dyDescent="0.25">
      <c r="A1702" t="s">
        <v>1994</v>
      </c>
      <c r="B1702" s="248">
        <v>102</v>
      </c>
      <c r="C1702" t="s">
        <v>4675</v>
      </c>
      <c r="D1702" t="s">
        <v>3204</v>
      </c>
      <c r="E1702" s="249" t="s">
        <v>3001</v>
      </c>
      <c r="F1702">
        <v>1700</v>
      </c>
    </row>
    <row r="1703" spans="1:6" x14ac:dyDescent="0.25">
      <c r="A1703" t="s">
        <v>2011</v>
      </c>
      <c r="B1703" s="248">
        <v>98.5</v>
      </c>
      <c r="C1703" t="s">
        <v>4676</v>
      </c>
      <c r="D1703" t="s">
        <v>3204</v>
      </c>
      <c r="E1703" s="249" t="s">
        <v>3001</v>
      </c>
      <c r="F1703">
        <v>1701</v>
      </c>
    </row>
    <row r="1704" spans="1:6" x14ac:dyDescent="0.25">
      <c r="A1704" t="s">
        <v>774</v>
      </c>
      <c r="B1704" s="248">
        <v>29.75</v>
      </c>
      <c r="C1704" t="s">
        <v>4677</v>
      </c>
      <c r="D1704" t="s">
        <v>3204</v>
      </c>
      <c r="E1704" s="249" t="s">
        <v>3045</v>
      </c>
      <c r="F1704">
        <v>1702</v>
      </c>
    </row>
    <row r="1705" spans="1:6" x14ac:dyDescent="0.25">
      <c r="A1705" t="s">
        <v>832</v>
      </c>
      <c r="B1705" s="248">
        <v>80.5</v>
      </c>
      <c r="C1705" t="s">
        <v>4678</v>
      </c>
      <c r="D1705" t="s">
        <v>3204</v>
      </c>
      <c r="E1705" s="249" t="s">
        <v>3045</v>
      </c>
      <c r="F1705">
        <v>1703</v>
      </c>
    </row>
    <row r="1706" spans="1:6" x14ac:dyDescent="0.25">
      <c r="A1706" t="s">
        <v>109</v>
      </c>
      <c r="B1706" s="248">
        <v>8.5</v>
      </c>
      <c r="C1706" t="s">
        <v>4679</v>
      </c>
      <c r="D1706" t="s">
        <v>3204</v>
      </c>
      <c r="E1706" s="249" t="s">
        <v>3044</v>
      </c>
      <c r="F1706">
        <v>1704</v>
      </c>
    </row>
    <row r="1707" spans="1:6" x14ac:dyDescent="0.25">
      <c r="A1707" t="s">
        <v>1732</v>
      </c>
      <c r="B1707" s="248">
        <v>9</v>
      </c>
      <c r="C1707" t="s">
        <v>4680</v>
      </c>
      <c r="D1707" t="s">
        <v>3204</v>
      </c>
      <c r="E1707" s="249" t="s">
        <v>3048</v>
      </c>
      <c r="F1707">
        <v>1705</v>
      </c>
    </row>
    <row r="1708" spans="1:6" x14ac:dyDescent="0.25">
      <c r="A1708" t="s">
        <v>691</v>
      </c>
      <c r="B1708" s="248">
        <v>10</v>
      </c>
      <c r="C1708" t="s">
        <v>4681</v>
      </c>
      <c r="D1708" t="s">
        <v>3204</v>
      </c>
      <c r="E1708" s="249" t="s">
        <v>3045</v>
      </c>
      <c r="F1708">
        <v>1706</v>
      </c>
    </row>
    <row r="1709" spans="1:6" x14ac:dyDescent="0.25">
      <c r="A1709" t="s">
        <v>775</v>
      </c>
      <c r="B1709" s="248">
        <v>23.5</v>
      </c>
      <c r="C1709" t="s">
        <v>4682</v>
      </c>
      <c r="D1709" t="s">
        <v>3204</v>
      </c>
      <c r="E1709" s="249" t="s">
        <v>3045</v>
      </c>
      <c r="F1709">
        <v>1707</v>
      </c>
    </row>
    <row r="1710" spans="1:6" x14ac:dyDescent="0.25">
      <c r="A1710" t="s">
        <v>1312</v>
      </c>
      <c r="B1710" s="248">
        <v>9</v>
      </c>
      <c r="C1710" t="s">
        <v>4683</v>
      </c>
      <c r="D1710" t="s">
        <v>3204</v>
      </c>
      <c r="E1710" s="249" t="s">
        <v>3047</v>
      </c>
      <c r="F1710">
        <v>1708</v>
      </c>
    </row>
    <row r="1711" spans="1:6" x14ac:dyDescent="0.25">
      <c r="A1711" t="s">
        <v>1991</v>
      </c>
      <c r="B1711" s="248">
        <v>25.5</v>
      </c>
      <c r="C1711" t="s">
        <v>4684</v>
      </c>
      <c r="D1711" t="s">
        <v>3204</v>
      </c>
      <c r="E1711" s="249" t="s">
        <v>3016</v>
      </c>
      <c r="F1711">
        <v>1709</v>
      </c>
    </row>
    <row r="1712" spans="1:6" x14ac:dyDescent="0.25">
      <c r="A1712" t="s">
        <v>1818</v>
      </c>
      <c r="B1712" s="248">
        <v>9</v>
      </c>
      <c r="C1712" t="s">
        <v>4685</v>
      </c>
      <c r="D1712" t="s">
        <v>3204</v>
      </c>
      <c r="E1712" s="249" t="s">
        <v>3049</v>
      </c>
      <c r="F1712">
        <v>1710</v>
      </c>
    </row>
    <row r="1713" spans="1:6" x14ac:dyDescent="0.25">
      <c r="A1713" t="s">
        <v>1497</v>
      </c>
      <c r="B1713" s="248">
        <v>11.25</v>
      </c>
      <c r="C1713" t="s">
        <v>4686</v>
      </c>
      <c r="D1713" t="s">
        <v>3204</v>
      </c>
      <c r="E1713" s="249" t="s">
        <v>3047</v>
      </c>
      <c r="F1713">
        <v>1711</v>
      </c>
    </row>
    <row r="1714" spans="1:6" x14ac:dyDescent="0.25">
      <c r="A1714" t="s">
        <v>1596</v>
      </c>
      <c r="B1714" s="248">
        <v>9</v>
      </c>
      <c r="C1714" t="s">
        <v>4687</v>
      </c>
      <c r="D1714" t="s">
        <v>3204</v>
      </c>
      <c r="E1714" s="249" t="s">
        <v>3047</v>
      </c>
      <c r="F1714">
        <v>1712</v>
      </c>
    </row>
    <row r="1715" spans="1:6" x14ac:dyDescent="0.25">
      <c r="A1715" t="s">
        <v>171</v>
      </c>
      <c r="B1715" s="248">
        <v>9</v>
      </c>
      <c r="C1715" t="s">
        <v>4688</v>
      </c>
      <c r="D1715" t="s">
        <v>3204</v>
      </c>
      <c r="E1715" s="249" t="s">
        <v>3043</v>
      </c>
      <c r="F1715">
        <v>1713</v>
      </c>
    </row>
    <row r="1716" spans="1:6" x14ac:dyDescent="0.25">
      <c r="A1716" t="s">
        <v>208</v>
      </c>
      <c r="B1716" s="248">
        <v>9.75</v>
      </c>
      <c r="C1716" t="s">
        <v>4689</v>
      </c>
      <c r="D1716" t="s">
        <v>3204</v>
      </c>
      <c r="E1716" s="249" t="s">
        <v>3043</v>
      </c>
      <c r="F1716">
        <v>1714</v>
      </c>
    </row>
    <row r="1717" spans="1:6" x14ac:dyDescent="0.25">
      <c r="A1717" t="s">
        <v>111</v>
      </c>
      <c r="B1717" s="248">
        <v>12.5</v>
      </c>
      <c r="C1717" t="s">
        <v>4690</v>
      </c>
      <c r="D1717" t="s">
        <v>3204</v>
      </c>
      <c r="E1717" s="249" t="s">
        <v>3043</v>
      </c>
      <c r="F1717">
        <v>1715</v>
      </c>
    </row>
    <row r="1718" spans="1:6" x14ac:dyDescent="0.25">
      <c r="A1718" t="s">
        <v>692</v>
      </c>
      <c r="B1718" s="248">
        <v>14.5</v>
      </c>
      <c r="C1718" t="s">
        <v>4691</v>
      </c>
      <c r="D1718" t="s">
        <v>3204</v>
      </c>
      <c r="E1718" s="249" t="s">
        <v>3045</v>
      </c>
      <c r="F1718">
        <v>1716</v>
      </c>
    </row>
    <row r="1719" spans="1:6" x14ac:dyDescent="0.25">
      <c r="A1719" t="s">
        <v>2447</v>
      </c>
      <c r="B1719" s="248">
        <v>166.5</v>
      </c>
      <c r="C1719" t="s">
        <v>4692</v>
      </c>
      <c r="D1719" t="s">
        <v>3204</v>
      </c>
      <c r="E1719" s="249" t="s">
        <v>3020</v>
      </c>
      <c r="F1719">
        <v>1717</v>
      </c>
    </row>
    <row r="1720" spans="1:6" x14ac:dyDescent="0.25">
      <c r="A1720" t="s">
        <v>2462</v>
      </c>
      <c r="B1720" s="248">
        <v>332.5</v>
      </c>
      <c r="C1720" t="s">
        <v>4693</v>
      </c>
      <c r="D1720" t="s">
        <v>3204</v>
      </c>
      <c r="E1720" s="249" t="s">
        <v>3020</v>
      </c>
      <c r="F1720">
        <v>1718</v>
      </c>
    </row>
    <row r="1721" spans="1:6" x14ac:dyDescent="0.25">
      <c r="A1721" t="s">
        <v>280</v>
      </c>
      <c r="B1721" s="248">
        <v>9.75</v>
      </c>
      <c r="C1721" t="s">
        <v>4694</v>
      </c>
      <c r="D1721" t="s">
        <v>3204</v>
      </c>
      <c r="E1721" s="249" t="s">
        <v>3043</v>
      </c>
      <c r="F1721">
        <v>1719</v>
      </c>
    </row>
    <row r="1722" spans="1:6" x14ac:dyDescent="0.25">
      <c r="A1722" t="s">
        <v>1008</v>
      </c>
      <c r="B1722" s="248">
        <v>9.75</v>
      </c>
      <c r="C1722" t="s">
        <v>4695</v>
      </c>
      <c r="D1722" t="s">
        <v>3204</v>
      </c>
      <c r="E1722" s="249" t="s">
        <v>3046</v>
      </c>
      <c r="F1722">
        <v>1720</v>
      </c>
    </row>
    <row r="1723" spans="1:6" x14ac:dyDescent="0.25">
      <c r="A1723" t="s">
        <v>828</v>
      </c>
      <c r="B1723" s="248">
        <v>98.5</v>
      </c>
      <c r="C1723" t="s">
        <v>4696</v>
      </c>
      <c r="D1723" t="s">
        <v>3204</v>
      </c>
      <c r="E1723" s="249" t="s">
        <v>3045</v>
      </c>
      <c r="F1723">
        <v>1721</v>
      </c>
    </row>
    <row r="1724" spans="1:6" x14ac:dyDescent="0.25">
      <c r="A1724" t="s">
        <v>1953</v>
      </c>
      <c r="B1724" s="248">
        <v>382.5</v>
      </c>
      <c r="C1724" t="s">
        <v>4697</v>
      </c>
      <c r="D1724" t="s">
        <v>3204</v>
      </c>
      <c r="E1724" s="249" t="s">
        <v>3001</v>
      </c>
      <c r="F1724">
        <v>1722</v>
      </c>
    </row>
    <row r="1725" spans="1:6" x14ac:dyDescent="0.25">
      <c r="A1725" t="s">
        <v>1995</v>
      </c>
      <c r="B1725" s="248">
        <v>10.25</v>
      </c>
      <c r="C1725" t="s">
        <v>4698</v>
      </c>
      <c r="D1725" t="s">
        <v>3204</v>
      </c>
      <c r="E1725" s="249" t="s">
        <v>3001</v>
      </c>
      <c r="F1725">
        <v>1723</v>
      </c>
    </row>
    <row r="1726" spans="1:6" x14ac:dyDescent="0.25">
      <c r="A1726" t="s">
        <v>1986</v>
      </c>
      <c r="B1726" s="248">
        <v>250</v>
      </c>
      <c r="C1726" t="s">
        <v>4699</v>
      </c>
      <c r="D1726" t="s">
        <v>3204</v>
      </c>
      <c r="E1726" s="249" t="s">
        <v>3001</v>
      </c>
      <c r="F1726">
        <v>1724</v>
      </c>
    </row>
    <row r="1727" spans="1:6" x14ac:dyDescent="0.25">
      <c r="A1727" t="s">
        <v>776</v>
      </c>
      <c r="B1727" s="248">
        <v>26.75</v>
      </c>
      <c r="C1727" t="s">
        <v>4700</v>
      </c>
      <c r="D1727" t="s">
        <v>3204</v>
      </c>
      <c r="E1727" s="249" t="s">
        <v>3045</v>
      </c>
      <c r="F1727">
        <v>1725</v>
      </c>
    </row>
    <row r="1728" spans="1:6" x14ac:dyDescent="0.25">
      <c r="A1728" t="s">
        <v>2195</v>
      </c>
      <c r="B1728" s="248">
        <v>26.75</v>
      </c>
      <c r="C1728" t="s">
        <v>4701</v>
      </c>
      <c r="D1728" t="s">
        <v>3204</v>
      </c>
      <c r="E1728" s="249" t="s">
        <v>3016</v>
      </c>
      <c r="F1728">
        <v>1726</v>
      </c>
    </row>
    <row r="1729" spans="1:6" x14ac:dyDescent="0.25">
      <c r="A1729" t="s">
        <v>1363</v>
      </c>
      <c r="B1729" s="248">
        <v>25.5</v>
      </c>
      <c r="C1729" t="s">
        <v>4702</v>
      </c>
      <c r="D1729" t="s">
        <v>3204</v>
      </c>
      <c r="E1729" s="249" t="s">
        <v>3016</v>
      </c>
      <c r="F1729">
        <v>1727</v>
      </c>
    </row>
    <row r="1730" spans="1:6" x14ac:dyDescent="0.25">
      <c r="A1730" t="s">
        <v>1313</v>
      </c>
      <c r="B1730" s="248">
        <v>12.5</v>
      </c>
      <c r="C1730" t="s">
        <v>4703</v>
      </c>
      <c r="D1730" t="s">
        <v>3204</v>
      </c>
      <c r="E1730" s="249" t="s">
        <v>3047</v>
      </c>
      <c r="F1730">
        <v>1728</v>
      </c>
    </row>
    <row r="1731" spans="1:6" x14ac:dyDescent="0.25">
      <c r="A1731" t="s">
        <v>1319</v>
      </c>
      <c r="B1731" s="248">
        <v>12.5</v>
      </c>
      <c r="C1731" t="s">
        <v>4704</v>
      </c>
      <c r="D1731" t="s">
        <v>3204</v>
      </c>
      <c r="E1731" s="249" t="s">
        <v>3047</v>
      </c>
      <c r="F1731">
        <v>1729</v>
      </c>
    </row>
    <row r="1732" spans="1:6" x14ac:dyDescent="0.25">
      <c r="A1732" t="s">
        <v>365</v>
      </c>
      <c r="B1732" s="248">
        <v>9.75</v>
      </c>
      <c r="C1732" t="s">
        <v>4705</v>
      </c>
      <c r="D1732" t="s">
        <v>3204</v>
      </c>
      <c r="E1732" s="249" t="s">
        <v>3045</v>
      </c>
      <c r="F1732">
        <v>1730</v>
      </c>
    </row>
    <row r="1733" spans="1:6" x14ac:dyDescent="0.25">
      <c r="A1733" t="s">
        <v>1813</v>
      </c>
      <c r="B1733" s="248">
        <v>15.75</v>
      </c>
      <c r="C1733" t="s">
        <v>4706</v>
      </c>
      <c r="D1733" t="s">
        <v>3204</v>
      </c>
      <c r="E1733" s="249" t="s">
        <v>3049</v>
      </c>
      <c r="F1733">
        <v>1731</v>
      </c>
    </row>
    <row r="1734" spans="1:6" x14ac:dyDescent="0.25">
      <c r="A1734" t="s">
        <v>1819</v>
      </c>
      <c r="B1734" s="248">
        <v>15.75</v>
      </c>
      <c r="C1734" t="s">
        <v>4707</v>
      </c>
      <c r="D1734" t="s">
        <v>3204</v>
      </c>
      <c r="E1734" s="249" t="s">
        <v>3049</v>
      </c>
      <c r="F1734">
        <v>1732</v>
      </c>
    </row>
    <row r="1735" spans="1:6" x14ac:dyDescent="0.25">
      <c r="A1735" t="s">
        <v>5557</v>
      </c>
      <c r="B1735" s="248">
        <v>52.5</v>
      </c>
      <c r="C1735" t="s">
        <v>5761</v>
      </c>
      <c r="D1735" t="s">
        <v>3204</v>
      </c>
      <c r="E1735" s="249" t="s">
        <v>3045</v>
      </c>
      <c r="F1735">
        <v>1733</v>
      </c>
    </row>
    <row r="1736" spans="1:6" x14ac:dyDescent="0.25">
      <c r="A1736" t="s">
        <v>1498</v>
      </c>
      <c r="B1736" s="248">
        <v>15.75</v>
      </c>
      <c r="C1736" t="s">
        <v>4708</v>
      </c>
      <c r="D1736" t="s">
        <v>3204</v>
      </c>
      <c r="E1736" s="249" t="s">
        <v>3047</v>
      </c>
      <c r="F1736">
        <v>1734</v>
      </c>
    </row>
    <row r="1737" spans="1:6" x14ac:dyDescent="0.25">
      <c r="A1737" t="s">
        <v>420</v>
      </c>
      <c r="B1737" s="248">
        <v>12.25</v>
      </c>
      <c r="C1737" t="s">
        <v>4709</v>
      </c>
      <c r="D1737" t="s">
        <v>3204</v>
      </c>
      <c r="E1737" s="249" t="s">
        <v>3047</v>
      </c>
      <c r="F1737">
        <v>1735</v>
      </c>
    </row>
    <row r="1738" spans="1:6" x14ac:dyDescent="0.25">
      <c r="A1738" t="s">
        <v>209</v>
      </c>
      <c r="B1738" s="248">
        <v>12.25</v>
      </c>
      <c r="C1738" t="s">
        <v>4710</v>
      </c>
      <c r="D1738" t="s">
        <v>3204</v>
      </c>
      <c r="E1738" s="249" t="s">
        <v>3043</v>
      </c>
      <c r="F1738">
        <v>1736</v>
      </c>
    </row>
    <row r="1739" spans="1:6" x14ac:dyDescent="0.25">
      <c r="A1739" t="s">
        <v>529</v>
      </c>
      <c r="B1739" s="248">
        <v>15.75</v>
      </c>
      <c r="C1739" t="s">
        <v>4711</v>
      </c>
      <c r="D1739" t="s">
        <v>3204</v>
      </c>
      <c r="E1739" s="249" t="s">
        <v>3044</v>
      </c>
      <c r="F1739">
        <v>1737</v>
      </c>
    </row>
    <row r="1740" spans="1:6" x14ac:dyDescent="0.25">
      <c r="A1740" t="s">
        <v>1009</v>
      </c>
      <c r="B1740" s="248">
        <v>12.25</v>
      </c>
      <c r="C1740" t="s">
        <v>4712</v>
      </c>
      <c r="D1740" t="s">
        <v>3204</v>
      </c>
      <c r="E1740" s="249" t="s">
        <v>3046</v>
      </c>
      <c r="F1740">
        <v>1738</v>
      </c>
    </row>
    <row r="1741" spans="1:6" x14ac:dyDescent="0.25">
      <c r="A1741" t="s">
        <v>2448</v>
      </c>
      <c r="B1741" s="248">
        <v>166.5</v>
      </c>
      <c r="C1741" t="s">
        <v>4713</v>
      </c>
      <c r="D1741" t="s">
        <v>3204</v>
      </c>
      <c r="E1741" s="249" t="s">
        <v>3020</v>
      </c>
      <c r="F1741">
        <v>1739</v>
      </c>
    </row>
    <row r="1742" spans="1:6" x14ac:dyDescent="0.25">
      <c r="A1742" t="s">
        <v>2463</v>
      </c>
      <c r="B1742" s="248">
        <v>332.5</v>
      </c>
      <c r="C1742" t="s">
        <v>4714</v>
      </c>
      <c r="D1742" t="s">
        <v>3204</v>
      </c>
      <c r="E1742" s="249" t="s">
        <v>3020</v>
      </c>
      <c r="F1742">
        <v>1740</v>
      </c>
    </row>
    <row r="1743" spans="1:6" x14ac:dyDescent="0.25">
      <c r="A1743" t="s">
        <v>1954</v>
      </c>
      <c r="B1743" s="248">
        <v>831</v>
      </c>
      <c r="C1743" t="s">
        <v>4715</v>
      </c>
      <c r="D1743" t="s">
        <v>3204</v>
      </c>
      <c r="E1743" s="249" t="s">
        <v>3001</v>
      </c>
      <c r="F1743">
        <v>1741</v>
      </c>
    </row>
    <row r="1744" spans="1:6" x14ac:dyDescent="0.25">
      <c r="A1744" t="s">
        <v>1320</v>
      </c>
      <c r="B1744" s="248">
        <v>12.5</v>
      </c>
      <c r="C1744" t="s">
        <v>4716</v>
      </c>
      <c r="D1744" t="s">
        <v>3204</v>
      </c>
      <c r="E1744" s="249" t="s">
        <v>3047</v>
      </c>
      <c r="F1744">
        <v>1742</v>
      </c>
    </row>
    <row r="1745" spans="1:6" x14ac:dyDescent="0.25">
      <c r="A1745" t="s">
        <v>1314</v>
      </c>
      <c r="B1745" s="248">
        <v>12.5</v>
      </c>
      <c r="C1745" t="s">
        <v>4717</v>
      </c>
      <c r="D1745" t="s">
        <v>3204</v>
      </c>
      <c r="E1745" s="249" t="s">
        <v>3047</v>
      </c>
      <c r="F1745">
        <v>1743</v>
      </c>
    </row>
    <row r="1746" spans="1:6" x14ac:dyDescent="0.25">
      <c r="A1746" t="s">
        <v>366</v>
      </c>
      <c r="B1746" s="248">
        <v>33.25</v>
      </c>
      <c r="C1746" t="s">
        <v>4718</v>
      </c>
      <c r="D1746" t="s">
        <v>3204</v>
      </c>
      <c r="E1746" s="249" t="s">
        <v>3043</v>
      </c>
      <c r="F1746">
        <v>1744</v>
      </c>
    </row>
    <row r="1747" spans="1:6" x14ac:dyDescent="0.25">
      <c r="A1747" t="s">
        <v>1996</v>
      </c>
      <c r="B1747" s="248">
        <v>177</v>
      </c>
      <c r="C1747" t="s">
        <v>4719</v>
      </c>
      <c r="D1747" t="s">
        <v>3204</v>
      </c>
      <c r="E1747" s="249" t="s">
        <v>3001</v>
      </c>
      <c r="F1747">
        <v>1745</v>
      </c>
    </row>
    <row r="1748" spans="1:6" x14ac:dyDescent="0.25">
      <c r="A1748" t="s">
        <v>172</v>
      </c>
      <c r="B1748" s="248">
        <v>12.5</v>
      </c>
      <c r="C1748" t="s">
        <v>4720</v>
      </c>
      <c r="D1748" t="s">
        <v>3204</v>
      </c>
      <c r="E1748" s="249" t="s">
        <v>3043</v>
      </c>
      <c r="F1748">
        <v>1746</v>
      </c>
    </row>
    <row r="1749" spans="1:6" x14ac:dyDescent="0.25">
      <c r="A1749" t="s">
        <v>1814</v>
      </c>
      <c r="B1749" s="248">
        <v>12.5</v>
      </c>
      <c r="C1749" t="s">
        <v>4721</v>
      </c>
      <c r="D1749" t="s">
        <v>3204</v>
      </c>
      <c r="E1749" s="249" t="s">
        <v>3049</v>
      </c>
      <c r="F1749">
        <v>1747</v>
      </c>
    </row>
    <row r="1750" spans="1:6" x14ac:dyDescent="0.25">
      <c r="A1750" t="s">
        <v>1820</v>
      </c>
      <c r="B1750" s="248">
        <v>12.5</v>
      </c>
      <c r="C1750" t="s">
        <v>4722</v>
      </c>
      <c r="D1750" t="s">
        <v>3204</v>
      </c>
      <c r="E1750" s="249" t="s">
        <v>3049</v>
      </c>
      <c r="F1750">
        <v>1748</v>
      </c>
    </row>
    <row r="1751" spans="1:6" x14ac:dyDescent="0.25">
      <c r="A1751" t="s">
        <v>2013</v>
      </c>
      <c r="B1751" s="248">
        <v>131.5</v>
      </c>
      <c r="C1751" t="s">
        <v>4723</v>
      </c>
      <c r="D1751" t="s">
        <v>3204</v>
      </c>
      <c r="E1751" s="249" t="s">
        <v>3001</v>
      </c>
      <c r="F1751">
        <v>1749</v>
      </c>
    </row>
    <row r="1752" spans="1:6" x14ac:dyDescent="0.25">
      <c r="A1752" t="s">
        <v>2196</v>
      </c>
      <c r="B1752" s="248">
        <v>33.5</v>
      </c>
      <c r="C1752" t="s">
        <v>4724</v>
      </c>
      <c r="D1752" t="s">
        <v>3204</v>
      </c>
      <c r="E1752" s="249" t="s">
        <v>3016</v>
      </c>
      <c r="F1752">
        <v>1750</v>
      </c>
    </row>
    <row r="1753" spans="1:6" x14ac:dyDescent="0.25">
      <c r="A1753" t="s">
        <v>281</v>
      </c>
      <c r="B1753" s="248">
        <v>12.25</v>
      </c>
      <c r="C1753" t="s">
        <v>4725</v>
      </c>
      <c r="D1753" t="s">
        <v>3204</v>
      </c>
      <c r="E1753" s="249" t="s">
        <v>3043</v>
      </c>
      <c r="F1753">
        <v>1751</v>
      </c>
    </row>
    <row r="1754" spans="1:6" x14ac:dyDescent="0.25">
      <c r="A1754" t="s">
        <v>1499</v>
      </c>
      <c r="B1754" s="248">
        <v>12.5</v>
      </c>
      <c r="C1754" t="s">
        <v>4726</v>
      </c>
      <c r="D1754" t="s">
        <v>3204</v>
      </c>
      <c r="E1754" s="249" t="s">
        <v>3047</v>
      </c>
      <c r="F1754">
        <v>1752</v>
      </c>
    </row>
    <row r="1755" spans="1:6" x14ac:dyDescent="0.25">
      <c r="A1755" t="s">
        <v>1597</v>
      </c>
      <c r="B1755" s="248">
        <v>12.5</v>
      </c>
      <c r="C1755" t="s">
        <v>4727</v>
      </c>
      <c r="D1755" t="s">
        <v>3204</v>
      </c>
      <c r="E1755" s="249" t="s">
        <v>3047</v>
      </c>
      <c r="F1755">
        <v>1753</v>
      </c>
    </row>
    <row r="1756" spans="1:6" x14ac:dyDescent="0.25">
      <c r="A1756" t="s">
        <v>2449</v>
      </c>
      <c r="B1756" s="248">
        <v>166.5</v>
      </c>
      <c r="C1756" t="s">
        <v>4728</v>
      </c>
      <c r="D1756" t="s">
        <v>3204</v>
      </c>
      <c r="E1756" s="249" t="s">
        <v>3020</v>
      </c>
      <c r="F1756">
        <v>1754</v>
      </c>
    </row>
    <row r="1757" spans="1:6" x14ac:dyDescent="0.25">
      <c r="A1757" t="s">
        <v>2464</v>
      </c>
      <c r="B1757" s="248">
        <v>582</v>
      </c>
      <c r="C1757" t="s">
        <v>4729</v>
      </c>
      <c r="D1757" t="s">
        <v>3204</v>
      </c>
      <c r="E1757" s="249" t="s">
        <v>3020</v>
      </c>
      <c r="F1757">
        <v>1755</v>
      </c>
    </row>
    <row r="1758" spans="1:6" x14ac:dyDescent="0.25">
      <c r="A1758" t="s">
        <v>2197</v>
      </c>
      <c r="B1758" s="248">
        <v>40.5</v>
      </c>
      <c r="C1758" t="s">
        <v>4730</v>
      </c>
      <c r="D1758" t="s">
        <v>3204</v>
      </c>
      <c r="E1758" s="249" t="s">
        <v>3016</v>
      </c>
      <c r="F1758">
        <v>1756</v>
      </c>
    </row>
    <row r="1759" spans="1:6" x14ac:dyDescent="0.25">
      <c r="A1759" t="s">
        <v>2472</v>
      </c>
      <c r="B1759" s="248">
        <v>250</v>
      </c>
      <c r="C1759" t="s">
        <v>4731</v>
      </c>
      <c r="D1759" t="s">
        <v>3204</v>
      </c>
      <c r="E1759" s="249" t="s">
        <v>3020</v>
      </c>
      <c r="F1759">
        <v>1757</v>
      </c>
    </row>
    <row r="1760" spans="1:6" x14ac:dyDescent="0.25">
      <c r="A1760" t="s">
        <v>112</v>
      </c>
      <c r="B1760" s="248">
        <v>15.75</v>
      </c>
      <c r="C1760" t="s">
        <v>4732</v>
      </c>
      <c r="D1760" t="s">
        <v>3204</v>
      </c>
      <c r="E1760" s="249" t="s">
        <v>3043</v>
      </c>
      <c r="F1760">
        <v>1758</v>
      </c>
    </row>
    <row r="1761" spans="1:6" x14ac:dyDescent="0.25">
      <c r="A1761" t="s">
        <v>1411</v>
      </c>
      <c r="B1761" s="248">
        <v>15</v>
      </c>
      <c r="C1761" t="s">
        <v>4733</v>
      </c>
      <c r="D1761" t="s">
        <v>3204</v>
      </c>
      <c r="E1761" s="249" t="s">
        <v>3047</v>
      </c>
      <c r="F1761">
        <v>1759</v>
      </c>
    </row>
    <row r="1762" spans="1:6" x14ac:dyDescent="0.25">
      <c r="A1762" t="s">
        <v>1416</v>
      </c>
      <c r="B1762" s="248">
        <v>15</v>
      </c>
      <c r="C1762" t="s">
        <v>4734</v>
      </c>
      <c r="D1762" t="s">
        <v>3204</v>
      </c>
      <c r="E1762" s="249" t="s">
        <v>3047</v>
      </c>
      <c r="F1762">
        <v>1760</v>
      </c>
    </row>
    <row r="1763" spans="1:6" x14ac:dyDescent="0.25">
      <c r="A1763" t="s">
        <v>367</v>
      </c>
      <c r="B1763" s="248">
        <v>50</v>
      </c>
      <c r="C1763" t="s">
        <v>4735</v>
      </c>
      <c r="D1763" t="s">
        <v>3204</v>
      </c>
      <c r="E1763" s="249" t="s">
        <v>3043</v>
      </c>
      <c r="F1763">
        <v>1761</v>
      </c>
    </row>
    <row r="1764" spans="1:6" x14ac:dyDescent="0.25">
      <c r="A1764" t="s">
        <v>1851</v>
      </c>
      <c r="B1764" s="248">
        <v>15</v>
      </c>
      <c r="C1764" t="s">
        <v>4736</v>
      </c>
      <c r="D1764" t="s">
        <v>3204</v>
      </c>
      <c r="E1764" s="249" t="s">
        <v>3049</v>
      </c>
      <c r="F1764">
        <v>1762</v>
      </c>
    </row>
    <row r="1765" spans="1:6" x14ac:dyDescent="0.25">
      <c r="A1765" t="s">
        <v>1856</v>
      </c>
      <c r="B1765" s="248">
        <v>15</v>
      </c>
      <c r="C1765" t="s">
        <v>4737</v>
      </c>
      <c r="D1765" t="s">
        <v>3204</v>
      </c>
      <c r="E1765" s="249" t="s">
        <v>3049</v>
      </c>
      <c r="F1765">
        <v>1763</v>
      </c>
    </row>
    <row r="1766" spans="1:6" x14ac:dyDescent="0.25">
      <c r="A1766" t="s">
        <v>1500</v>
      </c>
      <c r="B1766" s="248">
        <v>15</v>
      </c>
      <c r="C1766" t="s">
        <v>4738</v>
      </c>
      <c r="D1766" t="s">
        <v>3204</v>
      </c>
      <c r="E1766" s="249" t="s">
        <v>3047</v>
      </c>
      <c r="F1766">
        <v>1764</v>
      </c>
    </row>
    <row r="1767" spans="1:6" x14ac:dyDescent="0.25">
      <c r="A1767" t="s">
        <v>1598</v>
      </c>
      <c r="B1767" s="248">
        <v>15</v>
      </c>
      <c r="C1767" t="s">
        <v>4739</v>
      </c>
      <c r="D1767" t="s">
        <v>3204</v>
      </c>
      <c r="E1767" s="249" t="s">
        <v>3047</v>
      </c>
      <c r="F1767">
        <v>1765</v>
      </c>
    </row>
    <row r="1768" spans="1:6" x14ac:dyDescent="0.25">
      <c r="A1768" t="s">
        <v>421</v>
      </c>
      <c r="B1768" s="248">
        <v>16.5</v>
      </c>
      <c r="C1768" t="s">
        <v>4740</v>
      </c>
      <c r="D1768" t="s">
        <v>3204</v>
      </c>
      <c r="E1768" s="249" t="s">
        <v>3043</v>
      </c>
      <c r="F1768">
        <v>1766</v>
      </c>
    </row>
    <row r="1769" spans="1:6" x14ac:dyDescent="0.25">
      <c r="A1769" t="s">
        <v>168</v>
      </c>
      <c r="B1769" s="248">
        <v>2.75</v>
      </c>
      <c r="C1769" t="s">
        <v>4741</v>
      </c>
      <c r="D1769" t="s">
        <v>3204</v>
      </c>
      <c r="E1769" s="249" t="s">
        <v>3045</v>
      </c>
      <c r="F1769">
        <v>1767</v>
      </c>
    </row>
    <row r="1770" spans="1:6" x14ac:dyDescent="0.25">
      <c r="A1770" t="s">
        <v>2465</v>
      </c>
      <c r="B1770" s="248">
        <v>664.5</v>
      </c>
      <c r="C1770" t="s">
        <v>4742</v>
      </c>
      <c r="D1770" t="s">
        <v>3204</v>
      </c>
      <c r="E1770" s="249" t="s">
        <v>3020</v>
      </c>
      <c r="F1770">
        <v>1768</v>
      </c>
    </row>
    <row r="1771" spans="1:6" x14ac:dyDescent="0.25">
      <c r="A1771" t="s">
        <v>282</v>
      </c>
      <c r="B1771" s="248">
        <v>12.25</v>
      </c>
      <c r="C1771" t="s">
        <v>4743</v>
      </c>
      <c r="D1771" t="s">
        <v>3204</v>
      </c>
      <c r="E1771" s="249" t="s">
        <v>3043</v>
      </c>
      <c r="F1771">
        <v>1769</v>
      </c>
    </row>
    <row r="1772" spans="1:6" x14ac:dyDescent="0.25">
      <c r="A1772" t="s">
        <v>1010</v>
      </c>
      <c r="B1772" s="248">
        <v>12.25</v>
      </c>
      <c r="C1772" t="s">
        <v>4744</v>
      </c>
      <c r="D1772" t="s">
        <v>3204</v>
      </c>
      <c r="E1772" s="249" t="s">
        <v>3046</v>
      </c>
      <c r="F1772">
        <v>1770</v>
      </c>
    </row>
    <row r="1773" spans="1:6" x14ac:dyDescent="0.25">
      <c r="A1773" t="s">
        <v>1955</v>
      </c>
      <c r="B1773" s="248">
        <v>1288</v>
      </c>
      <c r="C1773" t="s">
        <v>4745</v>
      </c>
      <c r="D1773" t="s">
        <v>3204</v>
      </c>
      <c r="E1773" s="249" t="s">
        <v>3001</v>
      </c>
      <c r="F1773">
        <v>1771</v>
      </c>
    </row>
    <row r="1774" spans="1:6" x14ac:dyDescent="0.25">
      <c r="A1774" t="s">
        <v>1997</v>
      </c>
      <c r="B1774" s="248">
        <v>26.75</v>
      </c>
      <c r="C1774" t="s">
        <v>4746</v>
      </c>
      <c r="D1774" t="s">
        <v>3204</v>
      </c>
      <c r="E1774" s="249" t="s">
        <v>3001</v>
      </c>
      <c r="F1774">
        <v>1772</v>
      </c>
    </row>
    <row r="1775" spans="1:6" x14ac:dyDescent="0.25">
      <c r="A1775" t="s">
        <v>2014</v>
      </c>
      <c r="B1775" s="248">
        <v>131.5</v>
      </c>
      <c r="C1775" t="s">
        <v>4747</v>
      </c>
      <c r="D1775" t="s">
        <v>3204</v>
      </c>
      <c r="E1775" s="249" t="s">
        <v>3001</v>
      </c>
      <c r="F1775">
        <v>1773</v>
      </c>
    </row>
    <row r="1776" spans="1:6" x14ac:dyDescent="0.25">
      <c r="A1776" t="s">
        <v>2198</v>
      </c>
      <c r="B1776" s="248">
        <v>43.25</v>
      </c>
      <c r="C1776" t="s">
        <v>4748</v>
      </c>
      <c r="D1776" t="s">
        <v>3204</v>
      </c>
      <c r="E1776" s="249" t="s">
        <v>3016</v>
      </c>
      <c r="F1776">
        <v>1774</v>
      </c>
    </row>
    <row r="1777" spans="1:6" x14ac:dyDescent="0.25">
      <c r="A1777" t="s">
        <v>1412</v>
      </c>
      <c r="B1777" s="248">
        <v>15</v>
      </c>
      <c r="C1777" t="s">
        <v>4749</v>
      </c>
      <c r="D1777" t="s">
        <v>3204</v>
      </c>
      <c r="E1777" s="249" t="s">
        <v>3047</v>
      </c>
      <c r="F1777">
        <v>1775</v>
      </c>
    </row>
    <row r="1778" spans="1:6" x14ac:dyDescent="0.25">
      <c r="A1778" t="s">
        <v>1599</v>
      </c>
      <c r="B1778" s="248">
        <v>18.75</v>
      </c>
      <c r="C1778" t="s">
        <v>4750</v>
      </c>
      <c r="D1778" t="s">
        <v>3204</v>
      </c>
      <c r="E1778" s="249" t="s">
        <v>3047</v>
      </c>
      <c r="F1778">
        <v>1776</v>
      </c>
    </row>
    <row r="1779" spans="1:6" x14ac:dyDescent="0.25">
      <c r="A1779" t="s">
        <v>2451</v>
      </c>
      <c r="B1779" s="248">
        <v>250</v>
      </c>
      <c r="C1779" t="s">
        <v>4751</v>
      </c>
      <c r="D1779" t="s">
        <v>3204</v>
      </c>
      <c r="E1779" s="249" t="s">
        <v>3020</v>
      </c>
      <c r="F1779">
        <v>1777</v>
      </c>
    </row>
    <row r="1780" spans="1:6" x14ac:dyDescent="0.25">
      <c r="A1780" t="s">
        <v>283</v>
      </c>
      <c r="B1780" s="248">
        <v>16.5</v>
      </c>
      <c r="C1780" t="s">
        <v>4752</v>
      </c>
      <c r="D1780" t="s">
        <v>3204</v>
      </c>
      <c r="E1780" s="249" t="s">
        <v>3043</v>
      </c>
      <c r="F1780">
        <v>1778</v>
      </c>
    </row>
    <row r="1781" spans="1:6" x14ac:dyDescent="0.25">
      <c r="A1781" t="s">
        <v>1219</v>
      </c>
      <c r="B1781" s="248">
        <v>16.5</v>
      </c>
      <c r="C1781" t="s">
        <v>4753</v>
      </c>
      <c r="D1781" t="s">
        <v>3204</v>
      </c>
      <c r="E1781" s="249" t="s">
        <v>3046</v>
      </c>
      <c r="F1781">
        <v>1779</v>
      </c>
    </row>
    <row r="1782" spans="1:6" x14ac:dyDescent="0.25">
      <c r="A1782" t="s">
        <v>1011</v>
      </c>
      <c r="B1782" s="248">
        <v>16.5</v>
      </c>
      <c r="C1782" t="s">
        <v>4754</v>
      </c>
      <c r="D1782" t="s">
        <v>3204</v>
      </c>
      <c r="E1782" s="249" t="s">
        <v>3045</v>
      </c>
      <c r="F1782">
        <v>1780</v>
      </c>
    </row>
    <row r="1783" spans="1:6" x14ac:dyDescent="0.25">
      <c r="A1783" t="s">
        <v>2199</v>
      </c>
      <c r="B1783" s="248">
        <v>59.5</v>
      </c>
      <c r="C1783" t="s">
        <v>4755</v>
      </c>
      <c r="D1783" t="s">
        <v>3204</v>
      </c>
      <c r="E1783" s="249" t="s">
        <v>3016</v>
      </c>
      <c r="F1783">
        <v>1781</v>
      </c>
    </row>
    <row r="1784" spans="1:6" x14ac:dyDescent="0.25">
      <c r="A1784" t="s">
        <v>2474</v>
      </c>
      <c r="B1784" s="248">
        <v>332.5</v>
      </c>
      <c r="C1784" t="s">
        <v>4756</v>
      </c>
      <c r="D1784" t="s">
        <v>3204</v>
      </c>
      <c r="E1784" s="249" t="s">
        <v>3020</v>
      </c>
      <c r="F1784">
        <v>1782</v>
      </c>
    </row>
    <row r="1785" spans="1:6" x14ac:dyDescent="0.25">
      <c r="A1785" t="s">
        <v>1413</v>
      </c>
      <c r="B1785" s="248">
        <v>18.75</v>
      </c>
      <c r="C1785" t="s">
        <v>4757</v>
      </c>
      <c r="D1785" t="s">
        <v>3204</v>
      </c>
      <c r="E1785" s="249" t="s">
        <v>3047</v>
      </c>
      <c r="F1785">
        <v>1783</v>
      </c>
    </row>
    <row r="1786" spans="1:6" x14ac:dyDescent="0.25">
      <c r="A1786" t="s">
        <v>1417</v>
      </c>
      <c r="B1786" s="248">
        <v>18.75</v>
      </c>
      <c r="C1786" t="s">
        <v>4758</v>
      </c>
      <c r="D1786" t="s">
        <v>3204</v>
      </c>
      <c r="E1786" s="249" t="s">
        <v>3047</v>
      </c>
      <c r="F1786">
        <v>1784</v>
      </c>
    </row>
    <row r="1787" spans="1:6" x14ac:dyDescent="0.25">
      <c r="A1787" t="s">
        <v>1853</v>
      </c>
      <c r="B1787" s="248">
        <v>23.5</v>
      </c>
      <c r="C1787" t="s">
        <v>4759</v>
      </c>
      <c r="D1787" t="s">
        <v>3204</v>
      </c>
      <c r="E1787" s="249" t="s">
        <v>3049</v>
      </c>
      <c r="F1787">
        <v>1785</v>
      </c>
    </row>
    <row r="1788" spans="1:6" x14ac:dyDescent="0.25">
      <c r="A1788" t="s">
        <v>1857</v>
      </c>
      <c r="B1788" s="248">
        <v>18.75</v>
      </c>
      <c r="C1788" t="s">
        <v>4760</v>
      </c>
      <c r="D1788" t="s">
        <v>3204</v>
      </c>
      <c r="E1788" s="249" t="s">
        <v>3049</v>
      </c>
      <c r="F1788">
        <v>1786</v>
      </c>
    </row>
    <row r="1789" spans="1:6" x14ac:dyDescent="0.25">
      <c r="A1789" t="s">
        <v>1502</v>
      </c>
      <c r="B1789" s="248">
        <v>18.75</v>
      </c>
      <c r="C1789" t="s">
        <v>4761</v>
      </c>
      <c r="D1789" t="s">
        <v>3204</v>
      </c>
      <c r="E1789" s="249" t="s">
        <v>3047</v>
      </c>
      <c r="F1789">
        <v>1787</v>
      </c>
    </row>
    <row r="1790" spans="1:6" x14ac:dyDescent="0.25">
      <c r="A1790" t="s">
        <v>1600</v>
      </c>
      <c r="B1790" s="248">
        <v>18.75</v>
      </c>
      <c r="C1790" t="s">
        <v>4762</v>
      </c>
      <c r="D1790" t="s">
        <v>3204</v>
      </c>
      <c r="E1790" s="249" t="s">
        <v>3047</v>
      </c>
      <c r="F1790">
        <v>1788</v>
      </c>
    </row>
    <row r="1791" spans="1:6" x14ac:dyDescent="0.25">
      <c r="A1791" t="s">
        <v>1220</v>
      </c>
      <c r="B1791" s="248">
        <v>16.5</v>
      </c>
      <c r="C1791" t="s">
        <v>4763</v>
      </c>
      <c r="D1791" t="s">
        <v>3204</v>
      </c>
      <c r="E1791" s="249" t="s">
        <v>3046</v>
      </c>
      <c r="F1791">
        <v>1789</v>
      </c>
    </row>
    <row r="1792" spans="1:6" x14ac:dyDescent="0.25">
      <c r="A1792" t="s">
        <v>2452</v>
      </c>
      <c r="B1792" s="248">
        <v>250</v>
      </c>
      <c r="C1792" t="s">
        <v>4764</v>
      </c>
      <c r="D1792" t="s">
        <v>3204</v>
      </c>
      <c r="E1792" s="249" t="s">
        <v>3020</v>
      </c>
      <c r="F1792">
        <v>1790</v>
      </c>
    </row>
    <row r="1793" spans="1:6" x14ac:dyDescent="0.25">
      <c r="A1793" t="s">
        <v>2466</v>
      </c>
      <c r="B1793" s="248">
        <v>747.5</v>
      </c>
      <c r="C1793" t="s">
        <v>4765</v>
      </c>
      <c r="D1793" t="s">
        <v>3204</v>
      </c>
      <c r="E1793" s="249" t="s">
        <v>3020</v>
      </c>
      <c r="F1793">
        <v>1791</v>
      </c>
    </row>
    <row r="1794" spans="1:6" x14ac:dyDescent="0.25">
      <c r="A1794" t="s">
        <v>284</v>
      </c>
      <c r="B1794" s="248">
        <v>16.5</v>
      </c>
      <c r="C1794" t="s">
        <v>4766</v>
      </c>
      <c r="D1794" t="s">
        <v>3204</v>
      </c>
      <c r="E1794" s="249" t="s">
        <v>3043</v>
      </c>
      <c r="F1794">
        <v>1792</v>
      </c>
    </row>
    <row r="1795" spans="1:6" x14ac:dyDescent="0.25">
      <c r="A1795" t="s">
        <v>1956</v>
      </c>
      <c r="B1795" s="248">
        <v>1662</v>
      </c>
      <c r="C1795" t="s">
        <v>4767</v>
      </c>
      <c r="D1795" t="s">
        <v>3204</v>
      </c>
      <c r="E1795" s="249" t="s">
        <v>3001</v>
      </c>
      <c r="F1795">
        <v>1793</v>
      </c>
    </row>
    <row r="1796" spans="1:6" x14ac:dyDescent="0.25">
      <c r="A1796" t="s">
        <v>1998</v>
      </c>
      <c r="B1796" s="248">
        <v>65.75</v>
      </c>
      <c r="C1796" t="s">
        <v>4768</v>
      </c>
      <c r="D1796" t="s">
        <v>3204</v>
      </c>
      <c r="E1796" s="249" t="s">
        <v>3001</v>
      </c>
      <c r="F1796">
        <v>1794</v>
      </c>
    </row>
    <row r="1797" spans="1:6" x14ac:dyDescent="0.25">
      <c r="A1797" t="s">
        <v>2015</v>
      </c>
      <c r="B1797" s="248">
        <v>328</v>
      </c>
      <c r="C1797" t="s">
        <v>4769</v>
      </c>
      <c r="D1797" t="s">
        <v>3204</v>
      </c>
      <c r="E1797" s="249" t="s">
        <v>3001</v>
      </c>
      <c r="F1797">
        <v>1795</v>
      </c>
    </row>
    <row r="1798" spans="1:6" x14ac:dyDescent="0.25">
      <c r="A1798" t="s">
        <v>2200</v>
      </c>
      <c r="B1798" s="248">
        <v>49.75</v>
      </c>
      <c r="C1798" t="s">
        <v>4770</v>
      </c>
      <c r="D1798" t="s">
        <v>3204</v>
      </c>
      <c r="E1798" s="249" t="s">
        <v>3016</v>
      </c>
      <c r="F1798">
        <v>1796</v>
      </c>
    </row>
    <row r="1799" spans="1:6" x14ac:dyDescent="0.25">
      <c r="A1799" t="s">
        <v>2475</v>
      </c>
      <c r="B1799" s="248">
        <v>416</v>
      </c>
      <c r="C1799" t="s">
        <v>4771</v>
      </c>
      <c r="D1799" t="s">
        <v>3204</v>
      </c>
      <c r="E1799" s="249" t="s">
        <v>3020</v>
      </c>
      <c r="F1799">
        <v>1797</v>
      </c>
    </row>
    <row r="1800" spans="1:6" x14ac:dyDescent="0.25">
      <c r="A1800" t="s">
        <v>1414</v>
      </c>
      <c r="B1800" s="248">
        <v>18.75</v>
      </c>
      <c r="C1800" t="s">
        <v>4772</v>
      </c>
      <c r="D1800" t="s">
        <v>3204</v>
      </c>
      <c r="E1800" s="249" t="s">
        <v>3047</v>
      </c>
      <c r="F1800">
        <v>1798</v>
      </c>
    </row>
    <row r="1801" spans="1:6" x14ac:dyDescent="0.25">
      <c r="A1801" t="s">
        <v>1418</v>
      </c>
      <c r="B1801" s="248">
        <v>18.75</v>
      </c>
      <c r="C1801" t="s">
        <v>4773</v>
      </c>
      <c r="D1801" t="s">
        <v>3204</v>
      </c>
      <c r="E1801" s="249" t="s">
        <v>3047</v>
      </c>
      <c r="F1801">
        <v>1799</v>
      </c>
    </row>
    <row r="1802" spans="1:6" x14ac:dyDescent="0.25">
      <c r="A1802" t="s">
        <v>1505</v>
      </c>
      <c r="B1802" s="248">
        <v>26.75</v>
      </c>
      <c r="C1802" t="s">
        <v>4774</v>
      </c>
      <c r="D1802" t="s">
        <v>3204</v>
      </c>
      <c r="E1802" s="249" t="s">
        <v>3047</v>
      </c>
      <c r="F1802">
        <v>1800</v>
      </c>
    </row>
    <row r="1803" spans="1:6" x14ac:dyDescent="0.25">
      <c r="A1803" t="s">
        <v>1854</v>
      </c>
      <c r="B1803" s="248">
        <v>23.5</v>
      </c>
      <c r="C1803" t="s">
        <v>4775</v>
      </c>
      <c r="D1803" t="s">
        <v>3204</v>
      </c>
      <c r="E1803" s="249" t="s">
        <v>3049</v>
      </c>
      <c r="F1803">
        <v>1801</v>
      </c>
    </row>
    <row r="1804" spans="1:6" x14ac:dyDescent="0.25">
      <c r="A1804" t="s">
        <v>1858</v>
      </c>
      <c r="B1804" s="248">
        <v>18.75</v>
      </c>
      <c r="C1804" t="s">
        <v>4776</v>
      </c>
      <c r="D1804" t="s">
        <v>3204</v>
      </c>
      <c r="E1804" s="249" t="s">
        <v>3049</v>
      </c>
      <c r="F1804">
        <v>1802</v>
      </c>
    </row>
    <row r="1805" spans="1:6" x14ac:dyDescent="0.25">
      <c r="A1805" t="s">
        <v>1503</v>
      </c>
      <c r="B1805" s="248">
        <v>18.75</v>
      </c>
      <c r="C1805" t="s">
        <v>4777</v>
      </c>
      <c r="D1805" t="s">
        <v>3204</v>
      </c>
      <c r="E1805" s="249" t="s">
        <v>3047</v>
      </c>
      <c r="F1805">
        <v>1803</v>
      </c>
    </row>
    <row r="1806" spans="1:6" x14ac:dyDescent="0.25">
      <c r="A1806" t="s">
        <v>1601</v>
      </c>
      <c r="B1806" s="248">
        <v>18.75</v>
      </c>
      <c r="C1806" t="s">
        <v>4778</v>
      </c>
      <c r="D1806" t="s">
        <v>3204</v>
      </c>
      <c r="E1806" s="249" t="s">
        <v>3047</v>
      </c>
      <c r="F1806">
        <v>1804</v>
      </c>
    </row>
    <row r="1807" spans="1:6" x14ac:dyDescent="0.25">
      <c r="A1807" t="s">
        <v>1603</v>
      </c>
      <c r="B1807" s="248">
        <v>26.75</v>
      </c>
      <c r="C1807" t="s">
        <v>4779</v>
      </c>
      <c r="D1807" t="s">
        <v>3204</v>
      </c>
      <c r="E1807" s="249" t="s">
        <v>3047</v>
      </c>
      <c r="F1807">
        <v>1805</v>
      </c>
    </row>
    <row r="1808" spans="1:6" x14ac:dyDescent="0.25">
      <c r="A1808" t="s">
        <v>2453</v>
      </c>
      <c r="B1808" s="248">
        <v>250</v>
      </c>
      <c r="C1808" t="s">
        <v>4780</v>
      </c>
      <c r="D1808" t="s">
        <v>3204</v>
      </c>
      <c r="E1808" s="249" t="s">
        <v>3020</v>
      </c>
      <c r="F1808">
        <v>1806</v>
      </c>
    </row>
    <row r="1809" spans="1:6" x14ac:dyDescent="0.25">
      <c r="A1809" t="s">
        <v>2467</v>
      </c>
      <c r="B1809" s="248">
        <v>831</v>
      </c>
      <c r="C1809" t="s">
        <v>4781</v>
      </c>
      <c r="D1809" t="s">
        <v>3204</v>
      </c>
      <c r="E1809" s="249" t="s">
        <v>3020</v>
      </c>
      <c r="F1809">
        <v>1807</v>
      </c>
    </row>
    <row r="1810" spans="1:6" x14ac:dyDescent="0.25">
      <c r="A1810" t="s">
        <v>285</v>
      </c>
      <c r="B1810" s="248">
        <v>20</v>
      </c>
      <c r="C1810" t="s">
        <v>4782</v>
      </c>
      <c r="D1810" t="s">
        <v>3204</v>
      </c>
      <c r="E1810" s="249" t="s">
        <v>3043</v>
      </c>
      <c r="F1810">
        <v>1808</v>
      </c>
    </row>
    <row r="1811" spans="1:6" x14ac:dyDescent="0.25">
      <c r="A1811" t="s">
        <v>1012</v>
      </c>
      <c r="B1811" s="248">
        <v>132</v>
      </c>
      <c r="C1811" t="s">
        <v>4783</v>
      </c>
      <c r="D1811" t="s">
        <v>3204</v>
      </c>
      <c r="E1811" s="249" t="s">
        <v>3046</v>
      </c>
      <c r="F1811">
        <v>1809</v>
      </c>
    </row>
    <row r="1812" spans="1:6" x14ac:dyDescent="0.25">
      <c r="A1812" t="s">
        <v>2882</v>
      </c>
      <c r="B1812" s="248">
        <v>7296</v>
      </c>
      <c r="C1812" t="s">
        <v>4784</v>
      </c>
      <c r="D1812" t="s">
        <v>3056</v>
      </c>
      <c r="E1812" s="249" t="s">
        <v>3028</v>
      </c>
      <c r="F1812">
        <v>1810</v>
      </c>
    </row>
    <row r="1813" spans="1:6" x14ac:dyDescent="0.25">
      <c r="A1813" t="s">
        <v>1602</v>
      </c>
      <c r="B1813" s="248">
        <v>26.75</v>
      </c>
      <c r="C1813" t="s">
        <v>4785</v>
      </c>
      <c r="D1813" t="s">
        <v>3204</v>
      </c>
      <c r="E1813" s="249" t="s">
        <v>3047</v>
      </c>
      <c r="F1813">
        <v>1811</v>
      </c>
    </row>
    <row r="1814" spans="1:6" x14ac:dyDescent="0.25">
      <c r="A1814" t="s">
        <v>2201</v>
      </c>
      <c r="B1814" s="248">
        <v>60.75</v>
      </c>
      <c r="C1814" t="s">
        <v>4786</v>
      </c>
      <c r="D1814" t="s">
        <v>3204</v>
      </c>
      <c r="E1814" s="249" t="s">
        <v>3016</v>
      </c>
      <c r="F1814">
        <v>1812</v>
      </c>
    </row>
    <row r="1815" spans="1:6" x14ac:dyDescent="0.25">
      <c r="A1815" t="s">
        <v>2476</v>
      </c>
      <c r="B1815" s="248">
        <v>664.5</v>
      </c>
      <c r="C1815" t="s">
        <v>4787</v>
      </c>
      <c r="D1815" t="s">
        <v>3204</v>
      </c>
      <c r="E1815" s="249" t="s">
        <v>3020</v>
      </c>
      <c r="F1815">
        <v>1813</v>
      </c>
    </row>
    <row r="1816" spans="1:6" x14ac:dyDescent="0.25">
      <c r="A1816" t="s">
        <v>1415</v>
      </c>
      <c r="B1816" s="248">
        <v>18.75</v>
      </c>
      <c r="C1816" t="s">
        <v>4788</v>
      </c>
      <c r="D1816" t="s">
        <v>3204</v>
      </c>
      <c r="E1816" s="249" t="s">
        <v>3047</v>
      </c>
      <c r="F1816">
        <v>1814</v>
      </c>
    </row>
    <row r="1817" spans="1:6" x14ac:dyDescent="0.25">
      <c r="A1817" t="s">
        <v>1504</v>
      </c>
      <c r="B1817" s="248">
        <v>26.75</v>
      </c>
      <c r="C1817" t="s">
        <v>4789</v>
      </c>
      <c r="D1817" t="s">
        <v>3204</v>
      </c>
      <c r="E1817" s="249" t="s">
        <v>3047</v>
      </c>
      <c r="F1817">
        <v>1815</v>
      </c>
    </row>
    <row r="1818" spans="1:6" x14ac:dyDescent="0.25">
      <c r="A1818" t="s">
        <v>286</v>
      </c>
      <c r="B1818" s="248">
        <v>24</v>
      </c>
      <c r="C1818" t="s">
        <v>4790</v>
      </c>
      <c r="D1818" t="s">
        <v>3204</v>
      </c>
      <c r="E1818" s="249" t="s">
        <v>3043</v>
      </c>
      <c r="F1818">
        <v>1816</v>
      </c>
    </row>
    <row r="1819" spans="1:6" x14ac:dyDescent="0.25">
      <c r="A1819" t="s">
        <v>1013</v>
      </c>
      <c r="B1819" s="248">
        <v>24</v>
      </c>
      <c r="C1819" t="s">
        <v>4791</v>
      </c>
      <c r="D1819" t="s">
        <v>3204</v>
      </c>
      <c r="E1819" s="249" t="s">
        <v>3046</v>
      </c>
      <c r="F1819">
        <v>1817</v>
      </c>
    </row>
    <row r="1820" spans="1:6" x14ac:dyDescent="0.25">
      <c r="A1820" t="s">
        <v>287</v>
      </c>
      <c r="B1820" s="248">
        <v>24</v>
      </c>
      <c r="C1820" t="s">
        <v>4792</v>
      </c>
      <c r="D1820" t="s">
        <v>3204</v>
      </c>
      <c r="E1820" s="249" t="s">
        <v>3043</v>
      </c>
      <c r="F1820">
        <v>1818</v>
      </c>
    </row>
    <row r="1821" spans="1:6" x14ac:dyDescent="0.25">
      <c r="A1821" t="s">
        <v>2202</v>
      </c>
      <c r="B1821" s="248">
        <v>104</v>
      </c>
      <c r="C1821" t="s">
        <v>4793</v>
      </c>
      <c r="D1821" t="s">
        <v>3204</v>
      </c>
      <c r="E1821" s="249" t="s">
        <v>3016</v>
      </c>
      <c r="F1821">
        <v>1819</v>
      </c>
    </row>
    <row r="1822" spans="1:6" x14ac:dyDescent="0.25">
      <c r="A1822" t="s">
        <v>288</v>
      </c>
      <c r="B1822" s="248">
        <v>38.5</v>
      </c>
      <c r="C1822" t="s">
        <v>4794</v>
      </c>
      <c r="D1822" t="s">
        <v>3204</v>
      </c>
      <c r="E1822" s="249" t="s">
        <v>3043</v>
      </c>
      <c r="F1822">
        <v>1820</v>
      </c>
    </row>
    <row r="1823" spans="1:6" x14ac:dyDescent="0.25">
      <c r="A1823" t="s">
        <v>1506</v>
      </c>
      <c r="B1823" s="248">
        <v>26.75</v>
      </c>
      <c r="C1823" t="s">
        <v>4795</v>
      </c>
      <c r="D1823" t="s">
        <v>3204</v>
      </c>
      <c r="E1823" s="249" t="s">
        <v>3047</v>
      </c>
      <c r="F1823">
        <v>1821</v>
      </c>
    </row>
    <row r="1824" spans="1:6" x14ac:dyDescent="0.25">
      <c r="A1824" t="s">
        <v>1604</v>
      </c>
      <c r="B1824" s="248">
        <v>26.75</v>
      </c>
      <c r="C1824" t="s">
        <v>4796</v>
      </c>
      <c r="D1824" t="s">
        <v>3204</v>
      </c>
      <c r="E1824" s="249" t="s">
        <v>3047</v>
      </c>
      <c r="F1824">
        <v>1822</v>
      </c>
    </row>
    <row r="1825" spans="1:6" x14ac:dyDescent="0.25">
      <c r="A1825" t="s">
        <v>2203</v>
      </c>
      <c r="B1825" s="248">
        <v>104</v>
      </c>
      <c r="C1825" t="s">
        <v>4797</v>
      </c>
      <c r="D1825" t="s">
        <v>3204</v>
      </c>
      <c r="E1825" s="249" t="s">
        <v>3016</v>
      </c>
      <c r="F1825">
        <v>1823</v>
      </c>
    </row>
    <row r="1826" spans="1:6" x14ac:dyDescent="0.25">
      <c r="A1826" t="s">
        <v>290</v>
      </c>
      <c r="B1826" s="248">
        <v>75</v>
      </c>
      <c r="C1826" t="s">
        <v>4798</v>
      </c>
      <c r="D1826" t="s">
        <v>3204</v>
      </c>
      <c r="E1826" s="249" t="s">
        <v>3043</v>
      </c>
      <c r="F1826">
        <v>1824</v>
      </c>
    </row>
    <row r="1827" spans="1:6" x14ac:dyDescent="0.25">
      <c r="A1827" t="s">
        <v>423</v>
      </c>
      <c r="B1827" s="248">
        <v>108.5</v>
      </c>
      <c r="C1827" t="s">
        <v>4799</v>
      </c>
      <c r="D1827" t="s">
        <v>3204</v>
      </c>
      <c r="E1827" s="249" t="s">
        <v>3043</v>
      </c>
      <c r="F1827">
        <v>1825</v>
      </c>
    </row>
    <row r="1828" spans="1:6" x14ac:dyDescent="0.25">
      <c r="A1828" t="s">
        <v>289</v>
      </c>
      <c r="B1828" s="248">
        <v>38.5</v>
      </c>
      <c r="C1828" t="s">
        <v>4800</v>
      </c>
      <c r="D1828" t="s">
        <v>3204</v>
      </c>
      <c r="E1828" s="249" t="s">
        <v>3043</v>
      </c>
      <c r="F1828">
        <v>1826</v>
      </c>
    </row>
    <row r="1829" spans="1:6" x14ac:dyDescent="0.25">
      <c r="A1829" t="s">
        <v>291</v>
      </c>
      <c r="B1829" s="248">
        <v>78.75</v>
      </c>
      <c r="C1829" t="s">
        <v>4801</v>
      </c>
      <c r="D1829" t="s">
        <v>3204</v>
      </c>
      <c r="E1829" s="249" t="s">
        <v>3043</v>
      </c>
      <c r="F1829">
        <v>1827</v>
      </c>
    </row>
    <row r="1830" spans="1:6" x14ac:dyDescent="0.25">
      <c r="A1830" t="s">
        <v>1078</v>
      </c>
      <c r="B1830" s="248">
        <v>267.5</v>
      </c>
      <c r="C1830" t="s">
        <v>4802</v>
      </c>
      <c r="D1830" t="s">
        <v>3053</v>
      </c>
      <c r="E1830" s="249" t="s">
        <v>3046</v>
      </c>
      <c r="F1830">
        <v>1828</v>
      </c>
    </row>
    <row r="1831" spans="1:6" x14ac:dyDescent="0.25">
      <c r="A1831" t="s">
        <v>2900</v>
      </c>
      <c r="B1831" s="248">
        <v>20</v>
      </c>
      <c r="C1831" t="s">
        <v>4803</v>
      </c>
      <c r="D1831" t="s">
        <v>3204</v>
      </c>
      <c r="E1831" s="249" t="s">
        <v>3050</v>
      </c>
      <c r="F1831">
        <v>1829</v>
      </c>
    </row>
    <row r="1832" spans="1:6" x14ac:dyDescent="0.25">
      <c r="A1832" t="s">
        <v>2907</v>
      </c>
      <c r="B1832" s="248">
        <v>20</v>
      </c>
      <c r="C1832" t="s">
        <v>4804</v>
      </c>
      <c r="D1832" t="s">
        <v>3204</v>
      </c>
      <c r="E1832" s="249" t="s">
        <v>3050</v>
      </c>
      <c r="F1832">
        <v>1830</v>
      </c>
    </row>
    <row r="1833" spans="1:6" x14ac:dyDescent="0.25">
      <c r="A1833" t="s">
        <v>2913</v>
      </c>
      <c r="B1833" s="248">
        <v>20</v>
      </c>
      <c r="C1833" t="s">
        <v>4805</v>
      </c>
      <c r="D1833" t="s">
        <v>3204</v>
      </c>
      <c r="E1833" s="249" t="s">
        <v>3050</v>
      </c>
      <c r="F1833">
        <v>1831</v>
      </c>
    </row>
    <row r="1834" spans="1:6" x14ac:dyDescent="0.25">
      <c r="A1834" t="s">
        <v>2940</v>
      </c>
      <c r="B1834" s="248">
        <v>20</v>
      </c>
      <c r="C1834" t="s">
        <v>4806</v>
      </c>
      <c r="D1834" t="s">
        <v>3204</v>
      </c>
      <c r="E1834" s="249" t="s">
        <v>3050</v>
      </c>
      <c r="F1834">
        <v>1832</v>
      </c>
    </row>
    <row r="1835" spans="1:6" x14ac:dyDescent="0.25">
      <c r="A1835" t="s">
        <v>2942</v>
      </c>
      <c r="B1835" s="248">
        <v>20</v>
      </c>
      <c r="C1835" t="s">
        <v>4807</v>
      </c>
      <c r="D1835" t="s">
        <v>3204</v>
      </c>
      <c r="E1835" s="249" t="s">
        <v>3050</v>
      </c>
      <c r="F1835">
        <v>1833</v>
      </c>
    </row>
    <row r="1836" spans="1:6" x14ac:dyDescent="0.25">
      <c r="A1836" t="s">
        <v>2945</v>
      </c>
      <c r="B1836" s="248">
        <v>20</v>
      </c>
      <c r="C1836" t="s">
        <v>4808</v>
      </c>
      <c r="D1836" t="s">
        <v>3204</v>
      </c>
      <c r="E1836" s="249" t="s">
        <v>3050</v>
      </c>
      <c r="F1836">
        <v>1834</v>
      </c>
    </row>
    <row r="1837" spans="1:6" x14ac:dyDescent="0.25">
      <c r="A1837" t="s">
        <v>2950</v>
      </c>
      <c r="B1837" s="248">
        <v>20</v>
      </c>
      <c r="C1837" t="s">
        <v>4809</v>
      </c>
      <c r="D1837" t="s">
        <v>3204</v>
      </c>
      <c r="E1837" s="249" t="s">
        <v>3050</v>
      </c>
      <c r="F1837">
        <v>1835</v>
      </c>
    </row>
    <row r="1838" spans="1:6" x14ac:dyDescent="0.25">
      <c r="A1838" t="s">
        <v>1618</v>
      </c>
      <c r="B1838" s="248">
        <v>582</v>
      </c>
      <c r="C1838" t="s">
        <v>4810</v>
      </c>
      <c r="D1838" t="s">
        <v>3204</v>
      </c>
      <c r="E1838" s="249" t="s">
        <v>3047</v>
      </c>
      <c r="F1838">
        <v>1836</v>
      </c>
    </row>
    <row r="1839" spans="1:6" x14ac:dyDescent="0.25">
      <c r="A1839" t="s">
        <v>2181</v>
      </c>
      <c r="B1839" s="248">
        <v>1656</v>
      </c>
      <c r="C1839" t="s">
        <v>4811</v>
      </c>
      <c r="D1839" t="s">
        <v>3053</v>
      </c>
      <c r="E1839" s="249" t="s">
        <v>3016</v>
      </c>
      <c r="F1839">
        <v>1837</v>
      </c>
    </row>
    <row r="1840" spans="1:6" x14ac:dyDescent="0.25">
      <c r="A1840" t="s">
        <v>312</v>
      </c>
      <c r="B1840" s="248">
        <v>394.5</v>
      </c>
      <c r="C1840" t="s">
        <v>4812</v>
      </c>
      <c r="D1840" t="s">
        <v>3204</v>
      </c>
      <c r="E1840" s="249" t="s">
        <v>3045</v>
      </c>
      <c r="F1840">
        <v>1838</v>
      </c>
    </row>
    <row r="1841" spans="1:6" x14ac:dyDescent="0.25">
      <c r="A1841" t="s">
        <v>360</v>
      </c>
      <c r="B1841" s="248">
        <v>394.5</v>
      </c>
      <c r="C1841" t="s">
        <v>4813</v>
      </c>
      <c r="D1841" t="s">
        <v>3204</v>
      </c>
      <c r="E1841" s="249" t="s">
        <v>3045</v>
      </c>
      <c r="F1841">
        <v>1839</v>
      </c>
    </row>
    <row r="1842" spans="1:6" x14ac:dyDescent="0.25">
      <c r="A1842" t="s">
        <v>835</v>
      </c>
      <c r="B1842" s="248">
        <v>7</v>
      </c>
      <c r="C1842" t="s">
        <v>4814</v>
      </c>
      <c r="D1842" t="s">
        <v>3204</v>
      </c>
      <c r="E1842" s="249" t="s">
        <v>3046</v>
      </c>
      <c r="F1842">
        <v>1840</v>
      </c>
    </row>
    <row r="1843" spans="1:6" x14ac:dyDescent="0.25">
      <c r="A1843" t="s">
        <v>892</v>
      </c>
      <c r="B1843" s="248">
        <v>1254</v>
      </c>
      <c r="C1843" t="s">
        <v>4815</v>
      </c>
      <c r="D1843" t="s">
        <v>3053</v>
      </c>
      <c r="E1843" s="249" t="s">
        <v>3045</v>
      </c>
      <c r="F1843">
        <v>1841</v>
      </c>
    </row>
    <row r="1844" spans="1:6" x14ac:dyDescent="0.25">
      <c r="A1844" t="s">
        <v>894</v>
      </c>
      <c r="B1844" s="248">
        <v>3658</v>
      </c>
      <c r="C1844" t="s">
        <v>4816</v>
      </c>
      <c r="D1844" t="s">
        <v>3053</v>
      </c>
      <c r="E1844" s="249" t="s">
        <v>3045</v>
      </c>
      <c r="F1844">
        <v>1842</v>
      </c>
    </row>
    <row r="1845" spans="1:6" x14ac:dyDescent="0.25">
      <c r="A1845" t="s">
        <v>890</v>
      </c>
      <c r="B1845" s="248">
        <v>1085</v>
      </c>
      <c r="C1845" t="s">
        <v>4817</v>
      </c>
      <c r="D1845" t="s">
        <v>3053</v>
      </c>
      <c r="E1845" s="249" t="s">
        <v>3045</v>
      </c>
      <c r="F1845">
        <v>1843</v>
      </c>
    </row>
    <row r="1846" spans="1:6" x14ac:dyDescent="0.25">
      <c r="A1846" t="s">
        <v>746</v>
      </c>
      <c r="B1846" s="248">
        <v>144</v>
      </c>
      <c r="C1846" t="s">
        <v>4818</v>
      </c>
      <c r="D1846" t="s">
        <v>3053</v>
      </c>
      <c r="E1846" s="249" t="s">
        <v>3045</v>
      </c>
      <c r="F1846">
        <v>1844</v>
      </c>
    </row>
    <row r="1847" spans="1:6" x14ac:dyDescent="0.25">
      <c r="A1847" t="s">
        <v>747</v>
      </c>
      <c r="B1847" s="248">
        <v>189</v>
      </c>
      <c r="C1847" t="s">
        <v>4819</v>
      </c>
      <c r="D1847" t="s">
        <v>3053</v>
      </c>
      <c r="E1847" s="249" t="s">
        <v>3045</v>
      </c>
      <c r="F1847">
        <v>1845</v>
      </c>
    </row>
    <row r="1848" spans="1:6" x14ac:dyDescent="0.25">
      <c r="A1848" t="s">
        <v>750</v>
      </c>
      <c r="B1848" s="248">
        <v>404</v>
      </c>
      <c r="C1848" t="s">
        <v>4820</v>
      </c>
      <c r="D1848" t="s">
        <v>3053</v>
      </c>
      <c r="E1848" s="249" t="s">
        <v>3045</v>
      </c>
      <c r="F1848">
        <v>1846</v>
      </c>
    </row>
    <row r="1849" spans="1:6" x14ac:dyDescent="0.25">
      <c r="A1849" t="s">
        <v>893</v>
      </c>
      <c r="B1849" s="248">
        <v>2054</v>
      </c>
      <c r="C1849" t="s">
        <v>4821</v>
      </c>
      <c r="D1849" t="s">
        <v>3053</v>
      </c>
      <c r="E1849" s="249" t="s">
        <v>3045</v>
      </c>
      <c r="F1849">
        <v>1847</v>
      </c>
    </row>
    <row r="1850" spans="1:6" x14ac:dyDescent="0.25">
      <c r="A1850" t="s">
        <v>685</v>
      </c>
      <c r="B1850" s="248">
        <v>316</v>
      </c>
      <c r="C1850" t="s">
        <v>4822</v>
      </c>
      <c r="D1850" t="s">
        <v>3053</v>
      </c>
      <c r="E1850" s="249" t="s">
        <v>3045</v>
      </c>
      <c r="F1850">
        <v>1848</v>
      </c>
    </row>
    <row r="1851" spans="1:6" x14ac:dyDescent="0.25">
      <c r="A1851" t="s">
        <v>1080</v>
      </c>
      <c r="B1851" s="248">
        <v>483</v>
      </c>
      <c r="C1851" t="s">
        <v>4823</v>
      </c>
      <c r="D1851" t="s">
        <v>3053</v>
      </c>
      <c r="E1851" s="249" t="s">
        <v>3046</v>
      </c>
      <c r="F1851">
        <v>1849</v>
      </c>
    </row>
    <row r="1852" spans="1:6" x14ac:dyDescent="0.25">
      <c r="A1852" t="s">
        <v>982</v>
      </c>
      <c r="B1852" s="248">
        <v>2440</v>
      </c>
      <c r="C1852" t="s">
        <v>4824</v>
      </c>
      <c r="D1852" t="s">
        <v>3053</v>
      </c>
      <c r="E1852" s="249" t="s">
        <v>3045</v>
      </c>
      <c r="F1852">
        <v>1850</v>
      </c>
    </row>
    <row r="1853" spans="1:6" x14ac:dyDescent="0.25">
      <c r="A1853" t="s">
        <v>981</v>
      </c>
      <c r="B1853" s="248">
        <v>1627</v>
      </c>
      <c r="C1853" t="s">
        <v>4825</v>
      </c>
      <c r="D1853" t="s">
        <v>3053</v>
      </c>
      <c r="E1853" s="249" t="s">
        <v>3045</v>
      </c>
      <c r="F1853">
        <v>1851</v>
      </c>
    </row>
    <row r="1854" spans="1:6" x14ac:dyDescent="0.25">
      <c r="A1854" t="s">
        <v>2016</v>
      </c>
      <c r="B1854" s="248">
        <v>747.5</v>
      </c>
      <c r="C1854" t="s">
        <v>4826</v>
      </c>
      <c r="D1854" t="s">
        <v>3204</v>
      </c>
      <c r="E1854" s="249" t="s">
        <v>3001</v>
      </c>
      <c r="F1854">
        <v>1852</v>
      </c>
    </row>
    <row r="1855" spans="1:6" x14ac:dyDescent="0.25">
      <c r="A1855" t="s">
        <v>745</v>
      </c>
      <c r="B1855" s="248">
        <v>122.5</v>
      </c>
      <c r="C1855" t="s">
        <v>4827</v>
      </c>
      <c r="D1855" t="s">
        <v>3053</v>
      </c>
      <c r="E1855" s="249" t="s">
        <v>3045</v>
      </c>
      <c r="F1855">
        <v>1853</v>
      </c>
    </row>
    <row r="1856" spans="1:6" x14ac:dyDescent="0.25">
      <c r="A1856" t="s">
        <v>748</v>
      </c>
      <c r="B1856" s="248">
        <v>256</v>
      </c>
      <c r="C1856" t="s">
        <v>4828</v>
      </c>
      <c r="D1856" t="s">
        <v>3053</v>
      </c>
      <c r="E1856" s="249" t="s">
        <v>3045</v>
      </c>
      <c r="F1856">
        <v>1854</v>
      </c>
    </row>
    <row r="1857" spans="1:6" x14ac:dyDescent="0.25">
      <c r="A1857" t="s">
        <v>5829</v>
      </c>
      <c r="B1857" s="248">
        <v>2398</v>
      </c>
      <c r="C1857" t="s">
        <v>5955</v>
      </c>
      <c r="D1857" t="s">
        <v>3053</v>
      </c>
      <c r="E1857" s="249" t="s">
        <v>3046</v>
      </c>
      <c r="F1857">
        <v>1855</v>
      </c>
    </row>
    <row r="1858" spans="1:6" x14ac:dyDescent="0.25">
      <c r="A1858" t="s">
        <v>5831</v>
      </c>
      <c r="B1858" s="248">
        <v>7326</v>
      </c>
      <c r="C1858" t="s">
        <v>5982</v>
      </c>
      <c r="D1858" t="s">
        <v>3053</v>
      </c>
      <c r="E1858" s="249" t="s">
        <v>3046</v>
      </c>
      <c r="F1858">
        <v>1856</v>
      </c>
    </row>
    <row r="1859" spans="1:6" x14ac:dyDescent="0.25">
      <c r="A1859" t="s">
        <v>5827</v>
      </c>
      <c r="B1859" s="248">
        <v>1273</v>
      </c>
      <c r="C1859" t="s">
        <v>5939</v>
      </c>
      <c r="D1859" t="s">
        <v>3053</v>
      </c>
      <c r="E1859" s="249" t="s">
        <v>3046</v>
      </c>
      <c r="F1859">
        <v>1857</v>
      </c>
    </row>
    <row r="1860" spans="1:6" x14ac:dyDescent="0.25">
      <c r="A1860" t="s">
        <v>5830</v>
      </c>
      <c r="B1860" s="248">
        <v>3816</v>
      </c>
      <c r="C1860" t="s">
        <v>5970</v>
      </c>
      <c r="D1860" t="s">
        <v>3053</v>
      </c>
      <c r="E1860" s="249" t="s">
        <v>3046</v>
      </c>
      <c r="F1860">
        <v>1858</v>
      </c>
    </row>
    <row r="1861" spans="1:6" x14ac:dyDescent="0.25">
      <c r="A1861" t="s">
        <v>1684</v>
      </c>
      <c r="B1861" s="248">
        <v>10.75</v>
      </c>
      <c r="C1861" t="s">
        <v>4829</v>
      </c>
      <c r="D1861" t="s">
        <v>3204</v>
      </c>
      <c r="E1861" s="249" t="s">
        <v>3048</v>
      </c>
      <c r="F1861">
        <v>1859</v>
      </c>
    </row>
    <row r="1862" spans="1:6" x14ac:dyDescent="0.25">
      <c r="A1862" t="s">
        <v>1855</v>
      </c>
      <c r="B1862" s="248">
        <v>23.5</v>
      </c>
      <c r="C1862" t="s">
        <v>4830</v>
      </c>
      <c r="D1862" t="s">
        <v>3204</v>
      </c>
      <c r="E1862" s="249" t="s">
        <v>3049</v>
      </c>
      <c r="F1862">
        <v>1860</v>
      </c>
    </row>
    <row r="1863" spans="1:6" x14ac:dyDescent="0.25">
      <c r="A1863" t="s">
        <v>2008</v>
      </c>
      <c r="B1863" s="248">
        <v>416</v>
      </c>
      <c r="C1863" t="s">
        <v>4831</v>
      </c>
      <c r="D1863" t="s">
        <v>3204</v>
      </c>
      <c r="E1863" s="249" t="s">
        <v>3001</v>
      </c>
      <c r="F1863">
        <v>1861</v>
      </c>
    </row>
    <row r="1864" spans="1:6" x14ac:dyDescent="0.25">
      <c r="A1864" t="s">
        <v>177</v>
      </c>
      <c r="B1864" s="248">
        <v>477</v>
      </c>
      <c r="C1864" t="s">
        <v>4832</v>
      </c>
      <c r="D1864" t="s">
        <v>3053</v>
      </c>
      <c r="E1864" s="249" t="s">
        <v>3043</v>
      </c>
      <c r="F1864">
        <v>1862</v>
      </c>
    </row>
    <row r="1865" spans="1:6" x14ac:dyDescent="0.25">
      <c r="A1865" t="s">
        <v>682</v>
      </c>
      <c r="B1865" s="248">
        <v>122.5</v>
      </c>
      <c r="C1865" t="s">
        <v>4833</v>
      </c>
      <c r="D1865" t="s">
        <v>3053</v>
      </c>
      <c r="E1865" s="249" t="s">
        <v>3045</v>
      </c>
      <c r="F1865">
        <v>1863</v>
      </c>
    </row>
    <row r="1866" spans="1:6" x14ac:dyDescent="0.25">
      <c r="A1866" t="s">
        <v>1117</v>
      </c>
      <c r="B1866" s="248">
        <v>267.5</v>
      </c>
      <c r="C1866" t="s">
        <v>4834</v>
      </c>
      <c r="D1866" t="s">
        <v>3053</v>
      </c>
      <c r="E1866" s="249" t="s">
        <v>3046</v>
      </c>
      <c r="F1866">
        <v>1864</v>
      </c>
    </row>
    <row r="1867" spans="1:6" x14ac:dyDescent="0.25">
      <c r="A1867" t="s">
        <v>683</v>
      </c>
      <c r="B1867" s="248">
        <v>144</v>
      </c>
      <c r="C1867" t="s">
        <v>4835</v>
      </c>
      <c r="D1867" t="s">
        <v>3053</v>
      </c>
      <c r="E1867" s="249" t="s">
        <v>3045</v>
      </c>
      <c r="F1867">
        <v>1865</v>
      </c>
    </row>
    <row r="1868" spans="1:6" x14ac:dyDescent="0.25">
      <c r="A1868" t="s">
        <v>1079</v>
      </c>
      <c r="B1868" s="248">
        <v>326.5</v>
      </c>
      <c r="C1868" t="s">
        <v>4836</v>
      </c>
      <c r="D1868" t="s">
        <v>3053</v>
      </c>
      <c r="E1868" s="249" t="s">
        <v>3046</v>
      </c>
      <c r="F1868">
        <v>1866</v>
      </c>
    </row>
    <row r="1869" spans="1:6" x14ac:dyDescent="0.25">
      <c r="A1869" t="s">
        <v>1118</v>
      </c>
      <c r="B1869" s="248">
        <v>326.5</v>
      </c>
      <c r="C1869" t="s">
        <v>4837</v>
      </c>
      <c r="D1869" t="s">
        <v>3053</v>
      </c>
      <c r="E1869" s="249" t="s">
        <v>3046</v>
      </c>
      <c r="F1869">
        <v>1867</v>
      </c>
    </row>
    <row r="1870" spans="1:6" x14ac:dyDescent="0.25">
      <c r="A1870" t="s">
        <v>1901</v>
      </c>
      <c r="B1870" s="248">
        <v>4608</v>
      </c>
      <c r="C1870" t="s">
        <v>4838</v>
      </c>
      <c r="D1870" t="s">
        <v>3053</v>
      </c>
      <c r="E1870" s="249" t="s">
        <v>3001</v>
      </c>
      <c r="F1870">
        <v>1868</v>
      </c>
    </row>
    <row r="1871" spans="1:6" x14ac:dyDescent="0.25">
      <c r="A1871" t="s">
        <v>1852</v>
      </c>
      <c r="B1871" s="248">
        <v>18.75</v>
      </c>
      <c r="C1871" t="s">
        <v>4839</v>
      </c>
      <c r="D1871" t="s">
        <v>3204</v>
      </c>
      <c r="E1871" s="249" t="s">
        <v>3049</v>
      </c>
      <c r="F1871">
        <v>1869</v>
      </c>
    </row>
    <row r="1872" spans="1:6" x14ac:dyDescent="0.25">
      <c r="A1872" t="s">
        <v>684</v>
      </c>
      <c r="B1872" s="248">
        <v>189</v>
      </c>
      <c r="C1872" t="s">
        <v>4840</v>
      </c>
      <c r="D1872" t="s">
        <v>3053</v>
      </c>
      <c r="E1872" s="249" t="s">
        <v>3045</v>
      </c>
      <c r="F1872">
        <v>1870</v>
      </c>
    </row>
    <row r="1873" spans="1:6" x14ac:dyDescent="0.25">
      <c r="A1873" t="s">
        <v>1119</v>
      </c>
      <c r="B1873" s="248">
        <v>483</v>
      </c>
      <c r="C1873" t="s">
        <v>4841</v>
      </c>
      <c r="D1873" t="s">
        <v>3053</v>
      </c>
      <c r="E1873" s="249" t="s">
        <v>3046</v>
      </c>
      <c r="F1873">
        <v>1871</v>
      </c>
    </row>
    <row r="1874" spans="1:6" x14ac:dyDescent="0.25">
      <c r="A1874" t="s">
        <v>1081</v>
      </c>
      <c r="B1874" s="248">
        <v>584</v>
      </c>
      <c r="C1874" t="s">
        <v>4842</v>
      </c>
      <c r="D1874" t="s">
        <v>3053</v>
      </c>
      <c r="E1874" s="249" t="s">
        <v>3046</v>
      </c>
      <c r="F1874">
        <v>1872</v>
      </c>
    </row>
    <row r="1875" spans="1:6" x14ac:dyDescent="0.25">
      <c r="A1875" t="s">
        <v>1120</v>
      </c>
      <c r="B1875" s="248">
        <v>584</v>
      </c>
      <c r="C1875" t="s">
        <v>4843</v>
      </c>
      <c r="D1875" t="s">
        <v>3053</v>
      </c>
      <c r="E1875" s="249" t="s">
        <v>3046</v>
      </c>
      <c r="F1875">
        <v>1873</v>
      </c>
    </row>
    <row r="1876" spans="1:6" x14ac:dyDescent="0.25">
      <c r="A1876" t="s">
        <v>1138</v>
      </c>
      <c r="B1876" s="248">
        <v>1445</v>
      </c>
      <c r="C1876" t="s">
        <v>4844</v>
      </c>
      <c r="D1876" t="s">
        <v>3053</v>
      </c>
      <c r="E1876" s="249" t="s">
        <v>3046</v>
      </c>
      <c r="F1876">
        <v>1874</v>
      </c>
    </row>
    <row r="1877" spans="1:6" x14ac:dyDescent="0.25">
      <c r="A1877" t="s">
        <v>1082</v>
      </c>
      <c r="B1877" s="248">
        <v>842.5</v>
      </c>
      <c r="C1877" t="s">
        <v>4845</v>
      </c>
      <c r="D1877" t="s">
        <v>3053</v>
      </c>
      <c r="E1877" s="249" t="s">
        <v>3046</v>
      </c>
      <c r="F1877">
        <v>1875</v>
      </c>
    </row>
    <row r="1878" spans="1:6" x14ac:dyDescent="0.25">
      <c r="A1878" t="s">
        <v>749</v>
      </c>
      <c r="B1878" s="248">
        <v>316</v>
      </c>
      <c r="C1878" t="s">
        <v>4846</v>
      </c>
      <c r="D1878" t="s">
        <v>3053</v>
      </c>
      <c r="E1878" s="249" t="s">
        <v>3045</v>
      </c>
      <c r="F1878">
        <v>1876</v>
      </c>
    </row>
    <row r="1879" spans="1:6" x14ac:dyDescent="0.25">
      <c r="A1879" t="s">
        <v>1121</v>
      </c>
      <c r="B1879" s="248">
        <v>842.5</v>
      </c>
      <c r="C1879" t="s">
        <v>4847</v>
      </c>
      <c r="D1879" t="s">
        <v>3053</v>
      </c>
      <c r="E1879" s="249" t="s">
        <v>3046</v>
      </c>
      <c r="F1879">
        <v>1877</v>
      </c>
    </row>
    <row r="1880" spans="1:6" x14ac:dyDescent="0.25">
      <c r="A1880" t="s">
        <v>5917</v>
      </c>
      <c r="B1880" s="248">
        <v>8545</v>
      </c>
      <c r="C1880" t="s">
        <v>5987</v>
      </c>
      <c r="D1880" t="s">
        <v>3053</v>
      </c>
      <c r="E1880" s="249" t="s">
        <v>3046</v>
      </c>
      <c r="F1880">
        <v>1878</v>
      </c>
    </row>
    <row r="1881" spans="1:6" x14ac:dyDescent="0.25">
      <c r="A1881" t="s">
        <v>2744</v>
      </c>
      <c r="B1881" s="248">
        <v>1977</v>
      </c>
      <c r="C1881" t="s">
        <v>4848</v>
      </c>
      <c r="D1881" t="s">
        <v>3056</v>
      </c>
      <c r="E1881" s="249" t="s">
        <v>3028</v>
      </c>
      <c r="F1881">
        <v>1879</v>
      </c>
    </row>
    <row r="1882" spans="1:6" x14ac:dyDescent="0.25">
      <c r="A1882" t="s">
        <v>686</v>
      </c>
      <c r="B1882" s="248">
        <v>404</v>
      </c>
      <c r="C1882" t="s">
        <v>4849</v>
      </c>
      <c r="D1882" t="s">
        <v>3053</v>
      </c>
      <c r="E1882" s="249" t="s">
        <v>3045</v>
      </c>
      <c r="F1882">
        <v>1880</v>
      </c>
    </row>
    <row r="1883" spans="1:6" x14ac:dyDescent="0.25">
      <c r="A1883" t="s">
        <v>1083</v>
      </c>
      <c r="B1883" s="248">
        <v>1250</v>
      </c>
      <c r="C1883" t="s">
        <v>4850</v>
      </c>
      <c r="D1883" t="s">
        <v>3053</v>
      </c>
      <c r="E1883" s="249" t="s">
        <v>3046</v>
      </c>
      <c r="F1883">
        <v>1881</v>
      </c>
    </row>
    <row r="1884" spans="1:6" x14ac:dyDescent="0.25">
      <c r="A1884" t="s">
        <v>1122</v>
      </c>
      <c r="B1884" s="248">
        <v>1250</v>
      </c>
      <c r="C1884" t="s">
        <v>4851</v>
      </c>
      <c r="D1884" t="s">
        <v>3053</v>
      </c>
      <c r="E1884" s="249" t="s">
        <v>3046</v>
      </c>
      <c r="F1884">
        <v>1882</v>
      </c>
    </row>
    <row r="1885" spans="1:6" x14ac:dyDescent="0.25">
      <c r="A1885" t="s">
        <v>2220</v>
      </c>
      <c r="B1885" s="248">
        <v>708</v>
      </c>
      <c r="C1885" t="s">
        <v>4852</v>
      </c>
      <c r="D1885" t="s">
        <v>3053</v>
      </c>
      <c r="E1885" s="249" t="s">
        <v>3016</v>
      </c>
      <c r="F1885">
        <v>1883</v>
      </c>
    </row>
    <row r="1886" spans="1:6" x14ac:dyDescent="0.25">
      <c r="A1886" t="s">
        <v>2346</v>
      </c>
      <c r="B1886" s="248">
        <v>675</v>
      </c>
      <c r="C1886" t="s">
        <v>4853</v>
      </c>
      <c r="D1886" t="s">
        <v>3241</v>
      </c>
      <c r="E1886" s="249" t="s">
        <v>3020</v>
      </c>
      <c r="F1886">
        <v>1884</v>
      </c>
    </row>
    <row r="1887" spans="1:6" x14ac:dyDescent="0.25">
      <c r="A1887" t="s">
        <v>2224</v>
      </c>
      <c r="B1887" s="248">
        <v>1064</v>
      </c>
      <c r="C1887" t="s">
        <v>4854</v>
      </c>
      <c r="D1887" t="s">
        <v>3053</v>
      </c>
      <c r="E1887" s="249" t="s">
        <v>3016</v>
      </c>
      <c r="F1887">
        <v>1885</v>
      </c>
    </row>
    <row r="1888" spans="1:6" x14ac:dyDescent="0.25">
      <c r="A1888" t="s">
        <v>2182</v>
      </c>
      <c r="B1888" s="248">
        <v>1722</v>
      </c>
      <c r="C1888" t="s">
        <v>4855</v>
      </c>
      <c r="D1888" t="s">
        <v>3053</v>
      </c>
      <c r="E1888" s="249" t="s">
        <v>3016</v>
      </c>
      <c r="F1888">
        <v>1886</v>
      </c>
    </row>
    <row r="1889" spans="1:6" x14ac:dyDescent="0.25">
      <c r="A1889" t="s">
        <v>1266</v>
      </c>
      <c r="B1889" s="248">
        <v>6746</v>
      </c>
      <c r="C1889" t="s">
        <v>4856</v>
      </c>
      <c r="D1889" t="s">
        <v>3053</v>
      </c>
      <c r="E1889" s="249" t="s">
        <v>3046</v>
      </c>
      <c r="F1889">
        <v>1887</v>
      </c>
    </row>
    <row r="1890" spans="1:6" x14ac:dyDescent="0.25">
      <c r="A1890" t="s">
        <v>2450</v>
      </c>
      <c r="B1890" s="248">
        <v>166.5</v>
      </c>
      <c r="C1890" t="s">
        <v>4857</v>
      </c>
      <c r="D1890" t="s">
        <v>3204</v>
      </c>
      <c r="E1890" s="249" t="s">
        <v>3020</v>
      </c>
      <c r="F1890">
        <v>1888</v>
      </c>
    </row>
    <row r="1891" spans="1:6" x14ac:dyDescent="0.25">
      <c r="A1891" t="s">
        <v>2349</v>
      </c>
      <c r="B1891" s="248">
        <v>1430</v>
      </c>
      <c r="C1891" t="s">
        <v>4858</v>
      </c>
      <c r="D1891" t="s">
        <v>3241</v>
      </c>
      <c r="E1891" s="249" t="s">
        <v>3020</v>
      </c>
      <c r="F1891">
        <v>1889</v>
      </c>
    </row>
    <row r="1892" spans="1:6" x14ac:dyDescent="0.25">
      <c r="A1892" t="s">
        <v>1978</v>
      </c>
      <c r="B1892" s="248">
        <v>416</v>
      </c>
      <c r="C1892" t="s">
        <v>4859</v>
      </c>
      <c r="D1892" t="s">
        <v>3204</v>
      </c>
      <c r="E1892" s="249" t="s">
        <v>3001</v>
      </c>
      <c r="F1892">
        <v>1890</v>
      </c>
    </row>
    <row r="1893" spans="1:6" x14ac:dyDescent="0.25">
      <c r="A1893" t="s">
        <v>923</v>
      </c>
      <c r="B1893" s="248">
        <v>17534</v>
      </c>
      <c r="C1893" t="s">
        <v>4860</v>
      </c>
      <c r="D1893" t="s">
        <v>3053</v>
      </c>
      <c r="E1893" s="249" t="s">
        <v>3045</v>
      </c>
      <c r="F1893">
        <v>1891</v>
      </c>
    </row>
    <row r="1894" spans="1:6" x14ac:dyDescent="0.25">
      <c r="A1894" t="s">
        <v>2274</v>
      </c>
      <c r="B1894" s="248">
        <v>31076</v>
      </c>
      <c r="C1894" t="s">
        <v>4861</v>
      </c>
      <c r="D1894" t="s">
        <v>3246</v>
      </c>
      <c r="E1894" s="249" t="s">
        <v>3018</v>
      </c>
      <c r="F1894">
        <v>1892</v>
      </c>
    </row>
    <row r="1895" spans="1:6" x14ac:dyDescent="0.25">
      <c r="A1895" t="s">
        <v>905</v>
      </c>
      <c r="B1895" s="248">
        <v>1348</v>
      </c>
      <c r="C1895" t="s">
        <v>4862</v>
      </c>
      <c r="D1895" t="s">
        <v>3053</v>
      </c>
      <c r="E1895" s="249" t="s">
        <v>3045</v>
      </c>
      <c r="F1895">
        <v>1893</v>
      </c>
    </row>
    <row r="1896" spans="1:6" x14ac:dyDescent="0.25">
      <c r="A1896" t="s">
        <v>938</v>
      </c>
      <c r="B1896" s="248">
        <v>1266</v>
      </c>
      <c r="C1896" t="s">
        <v>4863</v>
      </c>
      <c r="D1896" t="s">
        <v>3053</v>
      </c>
      <c r="E1896" s="249" t="s">
        <v>3045</v>
      </c>
      <c r="F1896">
        <v>1894</v>
      </c>
    </row>
    <row r="1897" spans="1:6" x14ac:dyDescent="0.25">
      <c r="A1897" t="s">
        <v>992</v>
      </c>
      <c r="B1897" s="248">
        <v>1520</v>
      </c>
      <c r="C1897" t="s">
        <v>4864</v>
      </c>
      <c r="D1897" t="s">
        <v>3053</v>
      </c>
      <c r="E1897" s="249" t="s">
        <v>3045</v>
      </c>
      <c r="F1897">
        <v>1895</v>
      </c>
    </row>
    <row r="1898" spans="1:6" x14ac:dyDescent="0.25">
      <c r="A1898" t="s">
        <v>1668</v>
      </c>
      <c r="B1898" s="248">
        <v>4212</v>
      </c>
      <c r="C1898" t="s">
        <v>4865</v>
      </c>
      <c r="D1898" t="s">
        <v>3053</v>
      </c>
      <c r="E1898" s="249" t="s">
        <v>3048</v>
      </c>
      <c r="F1898">
        <v>1896</v>
      </c>
    </row>
    <row r="1899" spans="1:6" x14ac:dyDescent="0.25">
      <c r="A1899" t="s">
        <v>2541</v>
      </c>
      <c r="B1899" s="248">
        <v>15763</v>
      </c>
      <c r="C1899" t="s">
        <v>4866</v>
      </c>
      <c r="D1899" t="s">
        <v>3817</v>
      </c>
      <c r="E1899" s="249" t="s">
        <v>3050</v>
      </c>
      <c r="F1899">
        <v>1897</v>
      </c>
    </row>
    <row r="1900" spans="1:6" x14ac:dyDescent="0.25">
      <c r="A1900" t="s">
        <v>2960</v>
      </c>
      <c r="B1900" s="248">
        <v>38395</v>
      </c>
      <c r="C1900" t="s">
        <v>4867</v>
      </c>
      <c r="D1900" t="s">
        <v>3817</v>
      </c>
      <c r="E1900" s="249" t="s">
        <v>3050</v>
      </c>
      <c r="F1900">
        <v>1898</v>
      </c>
    </row>
    <row r="1901" spans="1:6" x14ac:dyDescent="0.25">
      <c r="A1901" t="s">
        <v>2498</v>
      </c>
      <c r="B1901" s="248">
        <v>19691</v>
      </c>
      <c r="C1901" t="s">
        <v>4868</v>
      </c>
      <c r="D1901" t="s">
        <v>3817</v>
      </c>
      <c r="E1901" s="249" t="s">
        <v>3050</v>
      </c>
      <c r="F1901">
        <v>1899</v>
      </c>
    </row>
    <row r="1902" spans="1:6" x14ac:dyDescent="0.25">
      <c r="A1902" t="s">
        <v>2961</v>
      </c>
      <c r="B1902" s="248">
        <v>2012</v>
      </c>
      <c r="C1902" t="s">
        <v>4869</v>
      </c>
      <c r="D1902" t="s">
        <v>3204</v>
      </c>
      <c r="E1902" s="249" t="s">
        <v>3050</v>
      </c>
      <c r="F1902">
        <v>1900</v>
      </c>
    </row>
    <row r="1903" spans="1:6" x14ac:dyDescent="0.25">
      <c r="A1903" t="s">
        <v>891</v>
      </c>
      <c r="B1903" s="248">
        <v>1193</v>
      </c>
      <c r="C1903" t="s">
        <v>4870</v>
      </c>
      <c r="D1903" t="s">
        <v>3053</v>
      </c>
      <c r="E1903" s="249" t="s">
        <v>3045</v>
      </c>
      <c r="F1903">
        <v>1901</v>
      </c>
    </row>
    <row r="1904" spans="1:6" x14ac:dyDescent="0.25">
      <c r="A1904" t="s">
        <v>895</v>
      </c>
      <c r="B1904" s="248">
        <v>6193</v>
      </c>
      <c r="C1904" t="s">
        <v>4871</v>
      </c>
      <c r="D1904" t="s">
        <v>3053</v>
      </c>
      <c r="E1904" s="249" t="s">
        <v>3045</v>
      </c>
      <c r="F1904">
        <v>1902</v>
      </c>
    </row>
    <row r="1905" spans="1:6" x14ac:dyDescent="0.25">
      <c r="A1905" t="s">
        <v>5828</v>
      </c>
      <c r="B1905" s="248">
        <v>1847</v>
      </c>
      <c r="C1905" t="s">
        <v>5951</v>
      </c>
      <c r="D1905" t="s">
        <v>3053</v>
      </c>
      <c r="E1905" s="249" t="s">
        <v>3046</v>
      </c>
      <c r="F1905">
        <v>1903</v>
      </c>
    </row>
    <row r="1906" spans="1:6" x14ac:dyDescent="0.25">
      <c r="A1906" t="s">
        <v>5832</v>
      </c>
      <c r="B1906" s="248">
        <v>10503</v>
      </c>
      <c r="C1906" t="s">
        <v>5988</v>
      </c>
      <c r="D1906" t="s">
        <v>3053</v>
      </c>
      <c r="E1906" s="249" t="s">
        <v>3046</v>
      </c>
      <c r="F1906">
        <v>1904</v>
      </c>
    </row>
    <row r="1907" spans="1:6" x14ac:dyDescent="0.25">
      <c r="A1907" t="s">
        <v>979</v>
      </c>
      <c r="B1907" s="248">
        <v>1575</v>
      </c>
      <c r="C1907" t="s">
        <v>4872</v>
      </c>
      <c r="D1907" t="s">
        <v>3053</v>
      </c>
      <c r="E1907" s="249" t="s">
        <v>3045</v>
      </c>
      <c r="F1907">
        <v>1905</v>
      </c>
    </row>
    <row r="1908" spans="1:6" x14ac:dyDescent="0.25">
      <c r="A1908" t="s">
        <v>980</v>
      </c>
      <c r="B1908" s="248">
        <v>1583</v>
      </c>
      <c r="C1908" t="s">
        <v>4873</v>
      </c>
      <c r="D1908" t="s">
        <v>3053</v>
      </c>
      <c r="E1908" s="249" t="s">
        <v>3045</v>
      </c>
      <c r="F1908">
        <v>1906</v>
      </c>
    </row>
    <row r="1909" spans="1:6" x14ac:dyDescent="0.25">
      <c r="A1909" t="s">
        <v>983</v>
      </c>
      <c r="B1909" s="248">
        <v>4606</v>
      </c>
      <c r="C1909" t="s">
        <v>4874</v>
      </c>
      <c r="D1909" t="s">
        <v>3053</v>
      </c>
      <c r="E1909" s="249" t="s">
        <v>3045</v>
      </c>
      <c r="F1909">
        <v>1907</v>
      </c>
    </row>
    <row r="1910" spans="1:6" x14ac:dyDescent="0.25">
      <c r="A1910" t="s">
        <v>984</v>
      </c>
      <c r="B1910" s="248">
        <v>8328</v>
      </c>
      <c r="C1910" t="s">
        <v>4875</v>
      </c>
      <c r="D1910" t="s">
        <v>3053</v>
      </c>
      <c r="E1910" s="249" t="s">
        <v>3045</v>
      </c>
      <c r="F1910">
        <v>1908</v>
      </c>
    </row>
    <row r="1911" spans="1:6" x14ac:dyDescent="0.25">
      <c r="A1911" t="s">
        <v>5840</v>
      </c>
      <c r="B1911" s="248">
        <v>1934</v>
      </c>
      <c r="C1911" t="s">
        <v>5952</v>
      </c>
      <c r="D1911" t="s">
        <v>3053</v>
      </c>
      <c r="E1911" s="249" t="s">
        <v>3046</v>
      </c>
      <c r="F1911">
        <v>1909</v>
      </c>
    </row>
    <row r="1912" spans="1:6" x14ac:dyDescent="0.25">
      <c r="A1912" t="s">
        <v>5841</v>
      </c>
      <c r="B1912" s="248">
        <v>2504</v>
      </c>
      <c r="C1912" t="s">
        <v>5957</v>
      </c>
      <c r="D1912" t="s">
        <v>3053</v>
      </c>
      <c r="E1912" s="249" t="s">
        <v>3046</v>
      </c>
      <c r="F1912">
        <v>1910</v>
      </c>
    </row>
    <row r="1913" spans="1:6" x14ac:dyDescent="0.25">
      <c r="A1913" t="s">
        <v>5842</v>
      </c>
      <c r="B1913" s="248">
        <v>2632</v>
      </c>
      <c r="C1913" t="s">
        <v>5958</v>
      </c>
      <c r="D1913" t="s">
        <v>3053</v>
      </c>
      <c r="E1913" s="249" t="s">
        <v>3046</v>
      </c>
      <c r="F1913">
        <v>1911</v>
      </c>
    </row>
    <row r="1914" spans="1:6" x14ac:dyDescent="0.25">
      <c r="A1914" t="s">
        <v>5843</v>
      </c>
      <c r="B1914" s="248">
        <v>4668</v>
      </c>
      <c r="C1914" t="s">
        <v>5972</v>
      </c>
      <c r="D1914" t="s">
        <v>3053</v>
      </c>
      <c r="E1914" s="249" t="s">
        <v>3046</v>
      </c>
      <c r="F1914">
        <v>1912</v>
      </c>
    </row>
    <row r="1915" spans="1:6" x14ac:dyDescent="0.25">
      <c r="A1915" t="s">
        <v>5844</v>
      </c>
      <c r="B1915" s="248">
        <v>7680</v>
      </c>
      <c r="C1915" t="s">
        <v>5983</v>
      </c>
      <c r="D1915" t="s">
        <v>3053</v>
      </c>
      <c r="E1915" s="249" t="s">
        <v>3046</v>
      </c>
      <c r="F1915">
        <v>1913</v>
      </c>
    </row>
    <row r="1916" spans="1:6" x14ac:dyDescent="0.25">
      <c r="A1916" t="s">
        <v>5845</v>
      </c>
      <c r="B1916" s="248">
        <v>12600</v>
      </c>
      <c r="C1916" t="s">
        <v>5990</v>
      </c>
      <c r="D1916" t="s">
        <v>3053</v>
      </c>
      <c r="E1916" s="249" t="s">
        <v>3046</v>
      </c>
      <c r="F1916">
        <v>1914</v>
      </c>
    </row>
    <row r="1917" spans="1:6" x14ac:dyDescent="0.25">
      <c r="A1917" t="s">
        <v>324</v>
      </c>
      <c r="B1917" s="248">
        <v>204</v>
      </c>
      <c r="C1917" t="s">
        <v>4876</v>
      </c>
      <c r="D1917" t="s">
        <v>3204</v>
      </c>
      <c r="E1917" s="249" t="s">
        <v>3045</v>
      </c>
      <c r="F1917">
        <v>1915</v>
      </c>
    </row>
    <row r="1918" spans="1:6" x14ac:dyDescent="0.25">
      <c r="A1918" t="s">
        <v>554</v>
      </c>
      <c r="B1918" s="248">
        <v>125</v>
      </c>
      <c r="C1918" t="s">
        <v>4877</v>
      </c>
      <c r="D1918" t="s">
        <v>3204</v>
      </c>
      <c r="E1918" s="249" t="s">
        <v>3044</v>
      </c>
      <c r="F1918">
        <v>1916</v>
      </c>
    </row>
    <row r="1919" spans="1:6" x14ac:dyDescent="0.25">
      <c r="A1919" t="s">
        <v>1065</v>
      </c>
      <c r="B1919" s="248">
        <v>654.5</v>
      </c>
      <c r="C1919" t="s">
        <v>4878</v>
      </c>
      <c r="D1919" t="s">
        <v>3053</v>
      </c>
      <c r="E1919" s="249" t="s">
        <v>3046</v>
      </c>
      <c r="F1919">
        <v>1917</v>
      </c>
    </row>
    <row r="1920" spans="1:6" x14ac:dyDescent="0.25">
      <c r="A1920" t="s">
        <v>1145</v>
      </c>
      <c r="B1920" s="248">
        <v>1666</v>
      </c>
      <c r="C1920" t="s">
        <v>4879</v>
      </c>
      <c r="D1920" t="s">
        <v>3053</v>
      </c>
      <c r="E1920" s="249" t="s">
        <v>3046</v>
      </c>
      <c r="F1920">
        <v>1918</v>
      </c>
    </row>
    <row r="1921" spans="1:6" x14ac:dyDescent="0.25">
      <c r="A1921" t="s">
        <v>801</v>
      </c>
      <c r="B1921" s="248">
        <v>57.5</v>
      </c>
      <c r="C1921" t="s">
        <v>4880</v>
      </c>
      <c r="D1921" t="s">
        <v>3204</v>
      </c>
      <c r="E1921" s="249" t="s">
        <v>3045</v>
      </c>
      <c r="F1921">
        <v>1919</v>
      </c>
    </row>
    <row r="1922" spans="1:6" x14ac:dyDescent="0.25">
      <c r="A1922" t="s">
        <v>1226</v>
      </c>
      <c r="B1922" s="248">
        <v>2270</v>
      </c>
      <c r="C1922" t="s">
        <v>4881</v>
      </c>
      <c r="D1922" t="s">
        <v>3053</v>
      </c>
      <c r="E1922" s="249" t="s">
        <v>3046</v>
      </c>
      <c r="F1922">
        <v>1920</v>
      </c>
    </row>
    <row r="1923" spans="1:6" x14ac:dyDescent="0.25">
      <c r="A1923" t="s">
        <v>942</v>
      </c>
      <c r="B1923" s="248">
        <v>1798</v>
      </c>
      <c r="C1923" t="s">
        <v>4882</v>
      </c>
      <c r="D1923" t="s">
        <v>3053</v>
      </c>
      <c r="E1923" s="249" t="s">
        <v>3045</v>
      </c>
      <c r="F1923">
        <v>1921</v>
      </c>
    </row>
    <row r="1924" spans="1:6" x14ac:dyDescent="0.25">
      <c r="A1924" t="s">
        <v>1752</v>
      </c>
      <c r="B1924" s="248">
        <v>996.5</v>
      </c>
      <c r="C1924" t="s">
        <v>4883</v>
      </c>
      <c r="D1924" t="s">
        <v>3204</v>
      </c>
      <c r="E1924" s="249" t="s">
        <v>3048</v>
      </c>
      <c r="F1924">
        <v>1922</v>
      </c>
    </row>
    <row r="1925" spans="1:6" x14ac:dyDescent="0.25">
      <c r="A1925" t="s">
        <v>317</v>
      </c>
      <c r="B1925" s="248">
        <v>4435</v>
      </c>
      <c r="C1925" t="s">
        <v>4884</v>
      </c>
      <c r="D1925" t="s">
        <v>3204</v>
      </c>
      <c r="E1925" s="249" t="s">
        <v>3045</v>
      </c>
      <c r="F1925">
        <v>1923</v>
      </c>
    </row>
    <row r="1926" spans="1:6" x14ac:dyDescent="0.25">
      <c r="A1926" t="s">
        <v>316</v>
      </c>
      <c r="B1926" s="248">
        <v>3150</v>
      </c>
      <c r="C1926" t="s">
        <v>4885</v>
      </c>
      <c r="D1926" t="s">
        <v>3204</v>
      </c>
      <c r="E1926" s="249" t="s">
        <v>3045</v>
      </c>
      <c r="F1926">
        <v>1924</v>
      </c>
    </row>
    <row r="1927" spans="1:6" x14ac:dyDescent="0.25">
      <c r="A1927" t="s">
        <v>1185</v>
      </c>
      <c r="B1927" s="248">
        <v>15378</v>
      </c>
      <c r="C1927" t="s">
        <v>4886</v>
      </c>
      <c r="D1927" t="s">
        <v>3053</v>
      </c>
      <c r="E1927" s="249" t="s">
        <v>3046</v>
      </c>
      <c r="F1927">
        <v>1925</v>
      </c>
    </row>
    <row r="1928" spans="1:6" x14ac:dyDescent="0.25">
      <c r="A1928" t="s">
        <v>1475</v>
      </c>
      <c r="B1928" s="248">
        <v>2317</v>
      </c>
      <c r="C1928" t="s">
        <v>4887</v>
      </c>
      <c r="D1928" t="s">
        <v>3053</v>
      </c>
      <c r="E1928" s="249" t="s">
        <v>3047</v>
      </c>
      <c r="F1928">
        <v>1926</v>
      </c>
    </row>
    <row r="1929" spans="1:6" x14ac:dyDescent="0.25">
      <c r="A1929" t="s">
        <v>458</v>
      </c>
      <c r="B1929" s="248">
        <v>394.5</v>
      </c>
      <c r="C1929" t="s">
        <v>4888</v>
      </c>
      <c r="D1929" t="s">
        <v>3204</v>
      </c>
      <c r="E1929" s="249" t="s">
        <v>3043</v>
      </c>
      <c r="F1929">
        <v>1927</v>
      </c>
    </row>
    <row r="1930" spans="1:6" x14ac:dyDescent="0.25">
      <c r="A1930" t="s">
        <v>1173</v>
      </c>
      <c r="B1930" s="248">
        <v>5579</v>
      </c>
      <c r="C1930" t="s">
        <v>4889</v>
      </c>
      <c r="D1930" t="s">
        <v>3053</v>
      </c>
      <c r="E1930" s="249" t="s">
        <v>3046</v>
      </c>
      <c r="F1930">
        <v>1928</v>
      </c>
    </row>
    <row r="1931" spans="1:6" x14ac:dyDescent="0.25">
      <c r="A1931" t="s">
        <v>1798</v>
      </c>
      <c r="B1931" s="248">
        <v>1414</v>
      </c>
      <c r="C1931" t="s">
        <v>4890</v>
      </c>
      <c r="D1931" t="s">
        <v>3053</v>
      </c>
      <c r="E1931" s="249" t="s">
        <v>3049</v>
      </c>
      <c r="F1931">
        <v>1929</v>
      </c>
    </row>
    <row r="1932" spans="1:6" x14ac:dyDescent="0.25">
      <c r="A1932" t="s">
        <v>1227</v>
      </c>
      <c r="B1932" s="248">
        <v>2270</v>
      </c>
      <c r="C1932" t="s">
        <v>4891</v>
      </c>
      <c r="D1932" t="s">
        <v>3053</v>
      </c>
      <c r="E1932" s="249" t="s">
        <v>3046</v>
      </c>
      <c r="F1932">
        <v>1930</v>
      </c>
    </row>
    <row r="1933" spans="1:6" x14ac:dyDescent="0.25">
      <c r="A1933" t="s">
        <v>1146</v>
      </c>
      <c r="B1933" s="248">
        <v>1666</v>
      </c>
      <c r="C1933" t="s">
        <v>4892</v>
      </c>
      <c r="D1933" t="s">
        <v>3053</v>
      </c>
      <c r="E1933" s="249" t="s">
        <v>3046</v>
      </c>
      <c r="F1933">
        <v>1931</v>
      </c>
    </row>
    <row r="1934" spans="1:6" x14ac:dyDescent="0.25">
      <c r="A1934" t="s">
        <v>896</v>
      </c>
      <c r="B1934" s="248">
        <v>9255</v>
      </c>
      <c r="C1934" t="s">
        <v>4893</v>
      </c>
      <c r="D1934" t="s">
        <v>3053</v>
      </c>
      <c r="E1934" s="249" t="s">
        <v>3045</v>
      </c>
      <c r="F1934">
        <v>1932</v>
      </c>
    </row>
    <row r="1935" spans="1:6" x14ac:dyDescent="0.25">
      <c r="A1935" t="s">
        <v>986</v>
      </c>
      <c r="B1935" s="248">
        <v>22343</v>
      </c>
      <c r="C1935" t="s">
        <v>4894</v>
      </c>
      <c r="D1935" t="s">
        <v>3053</v>
      </c>
      <c r="E1935" s="249" t="s">
        <v>3045</v>
      </c>
      <c r="F1935">
        <v>1933</v>
      </c>
    </row>
    <row r="1936" spans="1:6" x14ac:dyDescent="0.25">
      <c r="A1936" t="s">
        <v>994</v>
      </c>
      <c r="B1936" s="248">
        <v>1770</v>
      </c>
      <c r="C1936" t="s">
        <v>4895</v>
      </c>
      <c r="D1936" t="s">
        <v>3053</v>
      </c>
      <c r="E1936" s="249" t="s">
        <v>3045</v>
      </c>
      <c r="F1936">
        <v>1934</v>
      </c>
    </row>
    <row r="1937" spans="1:6" x14ac:dyDescent="0.25">
      <c r="A1937" t="s">
        <v>349</v>
      </c>
      <c r="B1937" s="248">
        <v>316</v>
      </c>
      <c r="C1937" t="s">
        <v>4896</v>
      </c>
      <c r="D1937" t="s">
        <v>3204</v>
      </c>
      <c r="E1937" s="249" t="s">
        <v>3045</v>
      </c>
      <c r="F1937">
        <v>1935</v>
      </c>
    </row>
    <row r="1938" spans="1:6" x14ac:dyDescent="0.25">
      <c r="A1938" t="s">
        <v>863</v>
      </c>
      <c r="B1938" s="248">
        <v>1407</v>
      </c>
      <c r="C1938" t="s">
        <v>4897</v>
      </c>
      <c r="D1938" t="s">
        <v>3053</v>
      </c>
      <c r="E1938" s="249" t="s">
        <v>3045</v>
      </c>
      <c r="F1938">
        <v>1936</v>
      </c>
    </row>
    <row r="1939" spans="1:6" x14ac:dyDescent="0.25">
      <c r="A1939" t="s">
        <v>2478</v>
      </c>
      <c r="B1939" s="248">
        <v>1246</v>
      </c>
      <c r="C1939" t="s">
        <v>4898</v>
      </c>
      <c r="D1939" t="s">
        <v>3204</v>
      </c>
      <c r="E1939" s="249" t="s">
        <v>3020</v>
      </c>
      <c r="F1939">
        <v>1937</v>
      </c>
    </row>
    <row r="1940" spans="1:6" x14ac:dyDescent="0.25">
      <c r="A1940" t="s">
        <v>2473</v>
      </c>
      <c r="B1940" s="248">
        <v>250</v>
      </c>
      <c r="C1940" t="s">
        <v>4899</v>
      </c>
      <c r="D1940" t="s">
        <v>3204</v>
      </c>
      <c r="E1940" s="249" t="s">
        <v>3020</v>
      </c>
      <c r="F1940">
        <v>1938</v>
      </c>
    </row>
    <row r="1941" spans="1:6" x14ac:dyDescent="0.25">
      <c r="A1941" t="s">
        <v>2266</v>
      </c>
      <c r="B1941" s="248">
        <v>2513</v>
      </c>
      <c r="C1941" t="s">
        <v>4900</v>
      </c>
      <c r="D1941" t="s">
        <v>3246</v>
      </c>
      <c r="E1941" s="249" t="s">
        <v>3018</v>
      </c>
      <c r="F1941">
        <v>1939</v>
      </c>
    </row>
    <row r="1942" spans="1:6" x14ac:dyDescent="0.25">
      <c r="A1942" t="s">
        <v>1847</v>
      </c>
      <c r="B1942" s="248">
        <v>14007</v>
      </c>
      <c r="C1942" t="s">
        <v>4901</v>
      </c>
      <c r="D1942" t="s">
        <v>3053</v>
      </c>
      <c r="E1942" s="249" t="s">
        <v>3049</v>
      </c>
      <c r="F1942">
        <v>1940</v>
      </c>
    </row>
    <row r="1943" spans="1:6" x14ac:dyDescent="0.25">
      <c r="A1943" t="s">
        <v>2233</v>
      </c>
      <c r="B1943" s="248">
        <v>3980</v>
      </c>
      <c r="C1943" t="s">
        <v>4902</v>
      </c>
      <c r="D1943" t="s">
        <v>3053</v>
      </c>
      <c r="E1943" s="249" t="s">
        <v>3016</v>
      </c>
      <c r="F1943">
        <v>1941</v>
      </c>
    </row>
    <row r="1944" spans="1:6" x14ac:dyDescent="0.25">
      <c r="A1944" t="s">
        <v>2470</v>
      </c>
      <c r="B1944" s="248">
        <v>250</v>
      </c>
      <c r="C1944" t="s">
        <v>4903</v>
      </c>
      <c r="D1944" t="s">
        <v>3204</v>
      </c>
      <c r="E1944" s="249" t="s">
        <v>3020</v>
      </c>
      <c r="F1944">
        <v>1942</v>
      </c>
    </row>
    <row r="1945" spans="1:6" x14ac:dyDescent="0.25">
      <c r="A1945" t="s">
        <v>2638</v>
      </c>
      <c r="B1945" s="248">
        <v>4817</v>
      </c>
      <c r="C1945" t="s">
        <v>4904</v>
      </c>
      <c r="D1945" t="s">
        <v>3056</v>
      </c>
      <c r="E1945" s="249" t="s">
        <v>3028</v>
      </c>
      <c r="F1945">
        <v>1943</v>
      </c>
    </row>
    <row r="1946" spans="1:6" x14ac:dyDescent="0.25">
      <c r="A1946" t="s">
        <v>1110</v>
      </c>
      <c r="B1946" s="248">
        <v>1402</v>
      </c>
      <c r="C1946" t="s">
        <v>4905</v>
      </c>
      <c r="D1946" t="s">
        <v>3053</v>
      </c>
      <c r="E1946" s="249" t="s">
        <v>3046</v>
      </c>
      <c r="F1946">
        <v>1944</v>
      </c>
    </row>
    <row r="1947" spans="1:6" x14ac:dyDescent="0.25">
      <c r="A1947" t="s">
        <v>6217</v>
      </c>
      <c r="B1947" s="248">
        <v>2367</v>
      </c>
      <c r="C1947" t="s">
        <v>6218</v>
      </c>
      <c r="D1947" t="s">
        <v>3056</v>
      </c>
      <c r="E1947" s="249" t="s">
        <v>3028</v>
      </c>
      <c r="F1947">
        <v>1945</v>
      </c>
    </row>
    <row r="1948" spans="1:6" x14ac:dyDescent="0.25">
      <c r="A1948" t="s">
        <v>2471</v>
      </c>
      <c r="B1948" s="248">
        <v>250</v>
      </c>
      <c r="C1948" t="s">
        <v>4906</v>
      </c>
      <c r="D1948" t="s">
        <v>3204</v>
      </c>
      <c r="E1948" s="249" t="s">
        <v>3020</v>
      </c>
      <c r="F1948">
        <v>1946</v>
      </c>
    </row>
    <row r="1949" spans="1:6" x14ac:dyDescent="0.25">
      <c r="A1949" t="s">
        <v>2417</v>
      </c>
      <c r="B1949" s="248">
        <v>7269</v>
      </c>
      <c r="C1949" t="s">
        <v>4907</v>
      </c>
      <c r="D1949" t="s">
        <v>3241</v>
      </c>
      <c r="E1949" s="249" t="s">
        <v>3020</v>
      </c>
      <c r="F1949">
        <v>1947</v>
      </c>
    </row>
    <row r="1950" spans="1:6" x14ac:dyDescent="0.25">
      <c r="A1950" t="s">
        <v>180</v>
      </c>
      <c r="B1950" s="248">
        <v>500.5</v>
      </c>
      <c r="C1950" t="s">
        <v>4908</v>
      </c>
      <c r="D1950" t="s">
        <v>3053</v>
      </c>
      <c r="E1950" s="249" t="s">
        <v>3043</v>
      </c>
      <c r="F1950">
        <v>1948</v>
      </c>
    </row>
    <row r="1951" spans="1:6" x14ac:dyDescent="0.25">
      <c r="A1951" t="s">
        <v>2806</v>
      </c>
      <c r="B1951" s="248">
        <v>63.5</v>
      </c>
      <c r="C1951" t="s">
        <v>4909</v>
      </c>
      <c r="D1951" t="s">
        <v>3204</v>
      </c>
      <c r="E1951" s="249" t="s">
        <v>3043</v>
      </c>
      <c r="F1951">
        <v>1949</v>
      </c>
    </row>
    <row r="1952" spans="1:6" x14ac:dyDescent="0.25">
      <c r="A1952" t="s">
        <v>2234</v>
      </c>
      <c r="B1952" s="248">
        <v>5338</v>
      </c>
      <c r="C1952" t="s">
        <v>4910</v>
      </c>
      <c r="D1952" t="s">
        <v>3053</v>
      </c>
      <c r="E1952" s="249" t="s">
        <v>3016</v>
      </c>
      <c r="F1952">
        <v>1950</v>
      </c>
    </row>
    <row r="1953" spans="1:6" x14ac:dyDescent="0.25">
      <c r="A1953" t="s">
        <v>884</v>
      </c>
      <c r="B1953" s="248">
        <v>58728</v>
      </c>
      <c r="C1953" t="s">
        <v>4911</v>
      </c>
      <c r="D1953" t="s">
        <v>3053</v>
      </c>
      <c r="E1953" s="249" t="s">
        <v>3045</v>
      </c>
      <c r="F1953">
        <v>1951</v>
      </c>
    </row>
    <row r="1954" spans="1:6" x14ac:dyDescent="0.25">
      <c r="A1954" t="s">
        <v>2391</v>
      </c>
      <c r="B1954" s="248">
        <v>72565</v>
      </c>
      <c r="C1954" t="s">
        <v>4912</v>
      </c>
      <c r="D1954" t="s">
        <v>3241</v>
      </c>
      <c r="E1954" s="249" t="s">
        <v>3020</v>
      </c>
      <c r="F1954">
        <v>1952</v>
      </c>
    </row>
    <row r="1955" spans="1:6" x14ac:dyDescent="0.25">
      <c r="A1955" t="s">
        <v>2411</v>
      </c>
      <c r="B1955" s="248">
        <v>1493</v>
      </c>
      <c r="C1955" t="s">
        <v>4913</v>
      </c>
      <c r="D1955" t="s">
        <v>3241</v>
      </c>
      <c r="E1955" s="249" t="s">
        <v>3020</v>
      </c>
      <c r="F1955">
        <v>1953</v>
      </c>
    </row>
    <row r="1956" spans="1:6" x14ac:dyDescent="0.25">
      <c r="A1956" t="s">
        <v>989</v>
      </c>
      <c r="B1956" s="248">
        <v>1266</v>
      </c>
      <c r="C1956" t="s">
        <v>4914</v>
      </c>
      <c r="D1956" t="s">
        <v>3053</v>
      </c>
      <c r="E1956" s="249" t="s">
        <v>3045</v>
      </c>
      <c r="F1956">
        <v>1954</v>
      </c>
    </row>
    <row r="1957" spans="1:6" x14ac:dyDescent="0.25">
      <c r="A1957" t="s">
        <v>990</v>
      </c>
      <c r="B1957" s="248">
        <v>1520</v>
      </c>
      <c r="C1957" t="s">
        <v>4915</v>
      </c>
      <c r="D1957" t="s">
        <v>3053</v>
      </c>
      <c r="E1957" s="249" t="s">
        <v>3045</v>
      </c>
      <c r="F1957">
        <v>1955</v>
      </c>
    </row>
    <row r="1958" spans="1:6" x14ac:dyDescent="0.25">
      <c r="A1958" t="s">
        <v>2490</v>
      </c>
      <c r="B1958" s="248">
        <v>2717</v>
      </c>
      <c r="C1958" t="s">
        <v>4916</v>
      </c>
      <c r="D1958" t="s">
        <v>3817</v>
      </c>
      <c r="E1958" s="249" t="s">
        <v>3050</v>
      </c>
      <c r="F1958">
        <v>1956</v>
      </c>
    </row>
    <row r="1959" spans="1:6" x14ac:dyDescent="0.25">
      <c r="A1959" t="s">
        <v>80</v>
      </c>
      <c r="B1959" s="248">
        <v>321</v>
      </c>
      <c r="C1959" t="s">
        <v>4917</v>
      </c>
      <c r="D1959" t="s">
        <v>3053</v>
      </c>
      <c r="E1959" s="249" t="s">
        <v>3043</v>
      </c>
      <c r="F1959">
        <v>1957</v>
      </c>
    </row>
    <row r="1960" spans="1:6" x14ac:dyDescent="0.25">
      <c r="A1960" t="s">
        <v>1762</v>
      </c>
      <c r="B1960" s="248">
        <v>541</v>
      </c>
      <c r="C1960" t="s">
        <v>4918</v>
      </c>
      <c r="D1960" t="s">
        <v>3204</v>
      </c>
      <c r="E1960" s="249" t="s">
        <v>3048</v>
      </c>
      <c r="F1960">
        <v>1958</v>
      </c>
    </row>
    <row r="1961" spans="1:6" x14ac:dyDescent="0.25">
      <c r="A1961" t="s">
        <v>1703</v>
      </c>
      <c r="B1961" s="248">
        <v>2698</v>
      </c>
      <c r="C1961" t="s">
        <v>4919</v>
      </c>
      <c r="D1961" t="s">
        <v>3053</v>
      </c>
      <c r="E1961" s="249" t="s">
        <v>3048</v>
      </c>
      <c r="F1961">
        <v>1959</v>
      </c>
    </row>
    <row r="1962" spans="1:6" x14ac:dyDescent="0.25">
      <c r="A1962" t="s">
        <v>1808</v>
      </c>
      <c r="B1962" s="248">
        <v>4094</v>
      </c>
      <c r="C1962" t="s">
        <v>4920</v>
      </c>
      <c r="D1962" t="s">
        <v>3053</v>
      </c>
      <c r="E1962" s="249" t="s">
        <v>3049</v>
      </c>
      <c r="F1962">
        <v>1960</v>
      </c>
    </row>
    <row r="1963" spans="1:6" x14ac:dyDescent="0.25">
      <c r="A1963" t="s">
        <v>1850</v>
      </c>
      <c r="B1963" s="248">
        <v>47831</v>
      </c>
      <c r="C1963" t="s">
        <v>4921</v>
      </c>
      <c r="D1963" t="s">
        <v>3053</v>
      </c>
      <c r="E1963" s="249" t="s">
        <v>3049</v>
      </c>
      <c r="F1963">
        <v>1961</v>
      </c>
    </row>
    <row r="1964" spans="1:6" x14ac:dyDescent="0.25">
      <c r="A1964" t="s">
        <v>2394</v>
      </c>
      <c r="B1964" s="248">
        <v>4396</v>
      </c>
      <c r="C1964" t="s">
        <v>4922</v>
      </c>
      <c r="D1964" t="s">
        <v>3241</v>
      </c>
      <c r="E1964" s="249" t="s">
        <v>3020</v>
      </c>
      <c r="F1964">
        <v>1962</v>
      </c>
    </row>
    <row r="1965" spans="1:6" x14ac:dyDescent="0.25">
      <c r="A1965" t="s">
        <v>2287</v>
      </c>
      <c r="B1965" s="248">
        <v>25898</v>
      </c>
      <c r="C1965" t="s">
        <v>4923</v>
      </c>
      <c r="D1965" t="s">
        <v>3246</v>
      </c>
      <c r="E1965" s="249" t="s">
        <v>3018</v>
      </c>
      <c r="F1965">
        <v>1963</v>
      </c>
    </row>
    <row r="1966" spans="1:6" x14ac:dyDescent="0.25">
      <c r="A1966" t="s">
        <v>194</v>
      </c>
      <c r="B1966" s="248">
        <v>685.5</v>
      </c>
      <c r="C1966" t="s">
        <v>4924</v>
      </c>
      <c r="D1966" t="s">
        <v>3053</v>
      </c>
      <c r="E1966" s="249" t="s">
        <v>3043</v>
      </c>
      <c r="F1966">
        <v>1964</v>
      </c>
    </row>
    <row r="1967" spans="1:6" x14ac:dyDescent="0.25">
      <c r="A1967" t="s">
        <v>1804</v>
      </c>
      <c r="B1967" s="248">
        <v>2098</v>
      </c>
      <c r="C1967" t="s">
        <v>4925</v>
      </c>
      <c r="D1967" t="s">
        <v>3053</v>
      </c>
      <c r="E1967" s="249" t="s">
        <v>3049</v>
      </c>
      <c r="F1967">
        <v>1965</v>
      </c>
    </row>
    <row r="1968" spans="1:6" x14ac:dyDescent="0.25">
      <c r="A1968" t="s">
        <v>908</v>
      </c>
      <c r="B1968" s="248">
        <v>1416</v>
      </c>
      <c r="C1968" t="s">
        <v>4926</v>
      </c>
      <c r="D1968" t="s">
        <v>3053</v>
      </c>
      <c r="E1968" s="249" t="s">
        <v>3045</v>
      </c>
      <c r="F1968">
        <v>1966</v>
      </c>
    </row>
    <row r="1969" spans="1:6" x14ac:dyDescent="0.25">
      <c r="A1969" t="s">
        <v>1149</v>
      </c>
      <c r="B1969" s="248">
        <v>1878</v>
      </c>
      <c r="C1969" t="s">
        <v>4927</v>
      </c>
      <c r="D1969" t="s">
        <v>3053</v>
      </c>
      <c r="E1969" s="249" t="s">
        <v>3046</v>
      </c>
      <c r="F1969">
        <v>1967</v>
      </c>
    </row>
    <row r="1970" spans="1:6" x14ac:dyDescent="0.25">
      <c r="A1970" t="s">
        <v>331</v>
      </c>
      <c r="B1970" s="248">
        <v>33075</v>
      </c>
      <c r="C1970" t="s">
        <v>4928</v>
      </c>
      <c r="D1970" t="s">
        <v>3204</v>
      </c>
      <c r="E1970" s="249" t="s">
        <v>3043</v>
      </c>
      <c r="F1970">
        <v>1968</v>
      </c>
    </row>
    <row r="1971" spans="1:6" x14ac:dyDescent="0.25">
      <c r="A1971" t="s">
        <v>337</v>
      </c>
      <c r="B1971" s="248">
        <v>394.5</v>
      </c>
      <c r="C1971" t="s">
        <v>4929</v>
      </c>
      <c r="D1971" t="s">
        <v>3204</v>
      </c>
      <c r="E1971" s="249" t="s">
        <v>3045</v>
      </c>
      <c r="F1971">
        <v>1969</v>
      </c>
    </row>
    <row r="1972" spans="1:6" x14ac:dyDescent="0.25">
      <c r="A1972" t="s">
        <v>1573</v>
      </c>
      <c r="B1972" s="248">
        <v>1973</v>
      </c>
      <c r="C1972" t="s">
        <v>4930</v>
      </c>
      <c r="D1972" t="s">
        <v>3053</v>
      </c>
      <c r="E1972" s="249" t="s">
        <v>3047</v>
      </c>
      <c r="F1972">
        <v>1970</v>
      </c>
    </row>
    <row r="1973" spans="1:6" x14ac:dyDescent="0.25">
      <c r="A1973" t="s">
        <v>1023</v>
      </c>
      <c r="B1973" s="248">
        <v>1791</v>
      </c>
      <c r="C1973" t="s">
        <v>4931</v>
      </c>
      <c r="D1973" t="s">
        <v>3053</v>
      </c>
      <c r="E1973" s="249" t="s">
        <v>3045</v>
      </c>
      <c r="F1973">
        <v>1971</v>
      </c>
    </row>
    <row r="1974" spans="1:6" x14ac:dyDescent="0.25">
      <c r="A1974" t="s">
        <v>5818</v>
      </c>
      <c r="B1974" s="248">
        <v>6758</v>
      </c>
      <c r="C1974" t="s">
        <v>5981</v>
      </c>
      <c r="D1974" t="s">
        <v>3053</v>
      </c>
      <c r="E1974" s="249" t="s">
        <v>3046</v>
      </c>
      <c r="F1974">
        <v>1972</v>
      </c>
    </row>
    <row r="1975" spans="1:6" x14ac:dyDescent="0.25">
      <c r="A1975" t="s">
        <v>941</v>
      </c>
      <c r="B1975" s="248">
        <v>1798</v>
      </c>
      <c r="C1975" t="s">
        <v>4932</v>
      </c>
      <c r="D1975" t="s">
        <v>3053</v>
      </c>
      <c r="E1975" s="249" t="s">
        <v>3045</v>
      </c>
      <c r="F1975">
        <v>1973</v>
      </c>
    </row>
    <row r="1976" spans="1:6" x14ac:dyDescent="0.25">
      <c r="A1976" t="s">
        <v>1778</v>
      </c>
      <c r="B1976" s="248">
        <v>5243</v>
      </c>
      <c r="C1976" t="s">
        <v>4933</v>
      </c>
      <c r="D1976" t="s">
        <v>3053</v>
      </c>
      <c r="E1976" s="249" t="s">
        <v>3048</v>
      </c>
      <c r="F1976">
        <v>1974</v>
      </c>
    </row>
    <row r="1977" spans="1:6" x14ac:dyDescent="0.25">
      <c r="A1977" t="s">
        <v>382</v>
      </c>
      <c r="B1977" s="248">
        <v>690.5</v>
      </c>
      <c r="C1977" t="s">
        <v>4934</v>
      </c>
      <c r="D1977" t="s">
        <v>3053</v>
      </c>
      <c r="E1977" s="249" t="s">
        <v>3043</v>
      </c>
      <c r="F1977">
        <v>1975</v>
      </c>
    </row>
    <row r="1978" spans="1:6" x14ac:dyDescent="0.25">
      <c r="A1978" t="s">
        <v>2419</v>
      </c>
      <c r="B1978" s="248">
        <v>15944</v>
      </c>
      <c r="C1978" t="s">
        <v>4935</v>
      </c>
      <c r="D1978" t="s">
        <v>3241</v>
      </c>
      <c r="E1978" s="249" t="s">
        <v>3020</v>
      </c>
      <c r="F1978">
        <v>1976</v>
      </c>
    </row>
    <row r="1979" spans="1:6" x14ac:dyDescent="0.25">
      <c r="A1979" t="s">
        <v>1232</v>
      </c>
      <c r="B1979" s="248">
        <v>3394</v>
      </c>
      <c r="C1979" t="s">
        <v>4936</v>
      </c>
      <c r="D1979" t="s">
        <v>3053</v>
      </c>
      <c r="E1979" s="249" t="s">
        <v>3046</v>
      </c>
      <c r="F1979">
        <v>1977</v>
      </c>
    </row>
    <row r="1980" spans="1:6" x14ac:dyDescent="0.25">
      <c r="A1980" t="s">
        <v>1369</v>
      </c>
      <c r="B1980" s="248">
        <v>632</v>
      </c>
      <c r="C1980" t="s">
        <v>4937</v>
      </c>
      <c r="D1980" t="s">
        <v>3053</v>
      </c>
      <c r="E1980" s="249" t="s">
        <v>3047</v>
      </c>
      <c r="F1980">
        <v>1978</v>
      </c>
    </row>
    <row r="1981" spans="1:6" x14ac:dyDescent="0.25">
      <c r="A1981" t="s">
        <v>1234</v>
      </c>
      <c r="B1981" s="248">
        <v>2823</v>
      </c>
      <c r="C1981" t="s">
        <v>4938</v>
      </c>
      <c r="D1981" t="s">
        <v>3053</v>
      </c>
      <c r="E1981" s="249" t="s">
        <v>3046</v>
      </c>
      <c r="F1981">
        <v>1979</v>
      </c>
    </row>
    <row r="1982" spans="1:6" x14ac:dyDescent="0.25">
      <c r="A1982" t="s">
        <v>1201</v>
      </c>
      <c r="B1982" s="248">
        <v>1587</v>
      </c>
      <c r="C1982" t="s">
        <v>4939</v>
      </c>
      <c r="D1982" t="s">
        <v>3053</v>
      </c>
      <c r="E1982" s="249" t="s">
        <v>3046</v>
      </c>
      <c r="F1982">
        <v>1980</v>
      </c>
    </row>
    <row r="1983" spans="1:6" x14ac:dyDescent="0.25">
      <c r="A1983" t="s">
        <v>574</v>
      </c>
      <c r="B1983" s="248">
        <v>123</v>
      </c>
      <c r="C1983" t="s">
        <v>4940</v>
      </c>
      <c r="D1983" t="s">
        <v>3053</v>
      </c>
      <c r="E1983" s="249" t="s">
        <v>3044</v>
      </c>
      <c r="F1983">
        <v>1981</v>
      </c>
    </row>
    <row r="1984" spans="1:6" x14ac:dyDescent="0.25">
      <c r="A1984" t="s">
        <v>577</v>
      </c>
      <c r="B1984" s="248">
        <v>178</v>
      </c>
      <c r="C1984" t="s">
        <v>4941</v>
      </c>
      <c r="D1984" t="s">
        <v>3053</v>
      </c>
      <c r="E1984" s="249" t="s">
        <v>3044</v>
      </c>
      <c r="F1984">
        <v>1982</v>
      </c>
    </row>
    <row r="1985" spans="1:6" x14ac:dyDescent="0.25">
      <c r="A1985" t="s">
        <v>580</v>
      </c>
      <c r="B1985" s="248">
        <v>245.5</v>
      </c>
      <c r="C1985" t="s">
        <v>4942</v>
      </c>
      <c r="D1985" t="s">
        <v>3053</v>
      </c>
      <c r="E1985" s="249" t="s">
        <v>3044</v>
      </c>
      <c r="F1985">
        <v>1983</v>
      </c>
    </row>
    <row r="1986" spans="1:6" x14ac:dyDescent="0.25">
      <c r="A1986" t="s">
        <v>583</v>
      </c>
      <c r="B1986" s="248">
        <v>377</v>
      </c>
      <c r="C1986" t="s">
        <v>4943</v>
      </c>
      <c r="D1986" t="s">
        <v>3053</v>
      </c>
      <c r="E1986" s="249" t="s">
        <v>3044</v>
      </c>
      <c r="F1986">
        <v>1984</v>
      </c>
    </row>
    <row r="1987" spans="1:6" x14ac:dyDescent="0.25">
      <c r="A1987" t="s">
        <v>594</v>
      </c>
      <c r="B1987" s="248">
        <v>3139</v>
      </c>
      <c r="C1987" t="s">
        <v>4944</v>
      </c>
      <c r="D1987" t="s">
        <v>3053</v>
      </c>
      <c r="E1987" s="249" t="s">
        <v>3044</v>
      </c>
      <c r="F1987">
        <v>1985</v>
      </c>
    </row>
    <row r="1988" spans="1:6" x14ac:dyDescent="0.25">
      <c r="A1988" t="s">
        <v>612</v>
      </c>
      <c r="B1988" s="248">
        <v>87.75</v>
      </c>
      <c r="C1988" t="s">
        <v>4945</v>
      </c>
      <c r="D1988" t="s">
        <v>3053</v>
      </c>
      <c r="E1988" s="249" t="s">
        <v>3044</v>
      </c>
      <c r="F1988">
        <v>1986</v>
      </c>
    </row>
    <row r="1989" spans="1:6" x14ac:dyDescent="0.25">
      <c r="A1989" t="s">
        <v>615</v>
      </c>
      <c r="B1989" s="248">
        <v>108</v>
      </c>
      <c r="C1989" t="s">
        <v>4946</v>
      </c>
      <c r="D1989" t="s">
        <v>3053</v>
      </c>
      <c r="E1989" s="249" t="s">
        <v>3044</v>
      </c>
      <c r="F1989">
        <v>1987</v>
      </c>
    </row>
    <row r="1990" spans="1:6" x14ac:dyDescent="0.25">
      <c r="A1990" t="s">
        <v>618</v>
      </c>
      <c r="B1990" s="248">
        <v>159</v>
      </c>
      <c r="C1990" t="s">
        <v>4947</v>
      </c>
      <c r="D1990" t="s">
        <v>3053</v>
      </c>
      <c r="E1990" s="249" t="s">
        <v>3044</v>
      </c>
      <c r="F1990">
        <v>1988</v>
      </c>
    </row>
    <row r="1991" spans="1:6" x14ac:dyDescent="0.25">
      <c r="A1991" t="s">
        <v>621</v>
      </c>
      <c r="B1991" s="248">
        <v>252</v>
      </c>
      <c r="C1991" t="s">
        <v>4948</v>
      </c>
      <c r="D1991" t="s">
        <v>3053</v>
      </c>
      <c r="E1991" s="249" t="s">
        <v>3044</v>
      </c>
      <c r="F1991">
        <v>1989</v>
      </c>
    </row>
    <row r="1992" spans="1:6" x14ac:dyDescent="0.25">
      <c r="A1992" t="s">
        <v>624</v>
      </c>
      <c r="B1992" s="248">
        <v>339.5</v>
      </c>
      <c r="C1992" t="s">
        <v>4949</v>
      </c>
      <c r="D1992" t="s">
        <v>3053</v>
      </c>
      <c r="E1992" s="249" t="s">
        <v>3044</v>
      </c>
      <c r="F1992">
        <v>1990</v>
      </c>
    </row>
    <row r="1993" spans="1:6" x14ac:dyDescent="0.25">
      <c r="A1993" t="s">
        <v>627</v>
      </c>
      <c r="B1993" s="248">
        <v>444</v>
      </c>
      <c r="C1993" t="s">
        <v>4950</v>
      </c>
      <c r="D1993" t="s">
        <v>3053</v>
      </c>
      <c r="E1993" s="249" t="s">
        <v>3044</v>
      </c>
      <c r="F1993">
        <v>1991</v>
      </c>
    </row>
    <row r="1994" spans="1:6" x14ac:dyDescent="0.25">
      <c r="A1994" t="s">
        <v>1202</v>
      </c>
      <c r="B1994" s="248">
        <v>1790</v>
      </c>
      <c r="C1994" t="s">
        <v>4951</v>
      </c>
      <c r="D1994" t="s">
        <v>3053</v>
      </c>
      <c r="E1994" s="249" t="s">
        <v>3046</v>
      </c>
      <c r="F1994">
        <v>1992</v>
      </c>
    </row>
    <row r="1995" spans="1:6" x14ac:dyDescent="0.25">
      <c r="A1995" t="s">
        <v>559</v>
      </c>
      <c r="B1995" s="248">
        <v>93.5</v>
      </c>
      <c r="C1995" t="s">
        <v>4952</v>
      </c>
      <c r="D1995" t="s">
        <v>3204</v>
      </c>
      <c r="E1995" s="249" t="s">
        <v>3044</v>
      </c>
      <c r="F1995">
        <v>1993</v>
      </c>
    </row>
    <row r="1996" spans="1:6" x14ac:dyDescent="0.25">
      <c r="A1996" t="s">
        <v>1207</v>
      </c>
      <c r="B1996" s="248">
        <v>2007</v>
      </c>
      <c r="C1996" t="s">
        <v>4953</v>
      </c>
      <c r="D1996" t="s">
        <v>3053</v>
      </c>
      <c r="E1996" s="249" t="s">
        <v>3046</v>
      </c>
      <c r="F1996">
        <v>1994</v>
      </c>
    </row>
    <row r="1997" spans="1:6" x14ac:dyDescent="0.25">
      <c r="A1997" t="s">
        <v>257</v>
      </c>
      <c r="B1997" s="248">
        <v>12772</v>
      </c>
      <c r="C1997" t="s">
        <v>4954</v>
      </c>
      <c r="D1997" t="s">
        <v>3053</v>
      </c>
      <c r="E1997" s="249" t="s">
        <v>3043</v>
      </c>
      <c r="F1997">
        <v>1995</v>
      </c>
    </row>
    <row r="1998" spans="1:6" x14ac:dyDescent="0.25">
      <c r="A1998" t="s">
        <v>1843</v>
      </c>
      <c r="B1998" s="248">
        <v>6789</v>
      </c>
      <c r="C1998" t="s">
        <v>4955</v>
      </c>
      <c r="D1998" t="s">
        <v>3053</v>
      </c>
      <c r="E1998" s="249" t="s">
        <v>3049</v>
      </c>
      <c r="F1998">
        <v>1996</v>
      </c>
    </row>
    <row r="1999" spans="1:6" x14ac:dyDescent="0.25">
      <c r="A1999" t="s">
        <v>1667</v>
      </c>
      <c r="B1999" s="248">
        <v>3406</v>
      </c>
      <c r="C1999" t="s">
        <v>4956</v>
      </c>
      <c r="D1999" t="s">
        <v>3053</v>
      </c>
      <c r="E1999" s="249" t="s">
        <v>3048</v>
      </c>
      <c r="F1999">
        <v>1997</v>
      </c>
    </row>
    <row r="2000" spans="1:6" x14ac:dyDescent="0.25">
      <c r="A2000" t="s">
        <v>2183</v>
      </c>
      <c r="B2000" s="248">
        <v>2157</v>
      </c>
      <c r="C2000" t="s">
        <v>4957</v>
      </c>
      <c r="D2000" t="s">
        <v>3053</v>
      </c>
      <c r="E2000" s="249" t="s">
        <v>3016</v>
      </c>
      <c r="F2000">
        <v>1998</v>
      </c>
    </row>
    <row r="2001" spans="1:6" x14ac:dyDescent="0.25">
      <c r="A2001" t="s">
        <v>2575</v>
      </c>
      <c r="B2001" s="248">
        <v>16816</v>
      </c>
      <c r="C2001" t="s">
        <v>4958</v>
      </c>
      <c r="D2001" t="s">
        <v>3817</v>
      </c>
      <c r="E2001" s="249" t="s">
        <v>3050</v>
      </c>
      <c r="F2001">
        <v>1999</v>
      </c>
    </row>
    <row r="2002" spans="1:6" x14ac:dyDescent="0.25">
      <c r="A2002" t="s">
        <v>918</v>
      </c>
      <c r="B2002" s="248">
        <v>4938</v>
      </c>
      <c r="C2002" t="s">
        <v>4959</v>
      </c>
      <c r="D2002" t="s">
        <v>3053</v>
      </c>
      <c r="E2002" s="249" t="s">
        <v>3045</v>
      </c>
      <c r="F2002">
        <v>2000</v>
      </c>
    </row>
    <row r="2003" spans="1:6" x14ac:dyDescent="0.25">
      <c r="A2003" t="s">
        <v>917</v>
      </c>
      <c r="B2003" s="248">
        <v>4938</v>
      </c>
      <c r="C2003" t="s">
        <v>4960</v>
      </c>
      <c r="D2003" t="s">
        <v>3053</v>
      </c>
      <c r="E2003" s="249" t="s">
        <v>3045</v>
      </c>
      <c r="F2003">
        <v>2001</v>
      </c>
    </row>
    <row r="2004" spans="1:6" x14ac:dyDescent="0.25">
      <c r="A2004" t="s">
        <v>1111</v>
      </c>
      <c r="B2004" s="248">
        <v>1402</v>
      </c>
      <c r="C2004" t="s">
        <v>4961</v>
      </c>
      <c r="D2004" t="s">
        <v>3053</v>
      </c>
      <c r="E2004" s="249" t="s">
        <v>3046</v>
      </c>
      <c r="F2004">
        <v>2002</v>
      </c>
    </row>
    <row r="2005" spans="1:6" x14ac:dyDescent="0.25">
      <c r="A2005" t="s">
        <v>1655</v>
      </c>
      <c r="B2005" s="248">
        <v>4506</v>
      </c>
      <c r="C2005" t="s">
        <v>4962</v>
      </c>
      <c r="D2005" t="s">
        <v>3053</v>
      </c>
      <c r="E2005" s="249" t="s">
        <v>3048</v>
      </c>
      <c r="F2005">
        <v>2003</v>
      </c>
    </row>
    <row r="2006" spans="1:6" x14ac:dyDescent="0.25">
      <c r="A2006" t="s">
        <v>1373</v>
      </c>
      <c r="B2006" s="248">
        <v>944</v>
      </c>
      <c r="C2006" t="s">
        <v>4963</v>
      </c>
      <c r="D2006" t="s">
        <v>3053</v>
      </c>
      <c r="E2006" s="249" t="s">
        <v>3047</v>
      </c>
      <c r="F2006">
        <v>2004</v>
      </c>
    </row>
    <row r="2007" spans="1:6" x14ac:dyDescent="0.25">
      <c r="A2007" t="s">
        <v>448</v>
      </c>
      <c r="B2007" s="248">
        <v>1943</v>
      </c>
      <c r="C2007" t="s">
        <v>4964</v>
      </c>
      <c r="D2007" t="s">
        <v>3204</v>
      </c>
      <c r="E2007" s="249" t="s">
        <v>3043</v>
      </c>
      <c r="F2007">
        <v>2005</v>
      </c>
    </row>
    <row r="2008" spans="1:6" x14ac:dyDescent="0.25">
      <c r="A2008" t="s">
        <v>449</v>
      </c>
      <c r="B2008" s="248">
        <v>3150</v>
      </c>
      <c r="C2008" t="s">
        <v>4965</v>
      </c>
      <c r="D2008" t="s">
        <v>3204</v>
      </c>
      <c r="E2008" s="249" t="s">
        <v>3043</v>
      </c>
      <c r="F2008">
        <v>2006</v>
      </c>
    </row>
    <row r="2009" spans="1:6" x14ac:dyDescent="0.25">
      <c r="A2009" t="s">
        <v>1264</v>
      </c>
      <c r="B2009" s="248">
        <v>3807</v>
      </c>
      <c r="C2009" t="s">
        <v>4966</v>
      </c>
      <c r="D2009" t="s">
        <v>3053</v>
      </c>
      <c r="E2009" s="249" t="s">
        <v>3046</v>
      </c>
      <c r="F2009">
        <v>2007</v>
      </c>
    </row>
    <row r="2010" spans="1:6" x14ac:dyDescent="0.25">
      <c r="A2010" t="s">
        <v>2866</v>
      </c>
      <c r="B2010" s="248">
        <v>9952</v>
      </c>
      <c r="C2010" t="s">
        <v>4967</v>
      </c>
      <c r="D2010" t="s">
        <v>3053</v>
      </c>
      <c r="E2010" s="249" t="s">
        <v>3043</v>
      </c>
      <c r="F2010">
        <v>2008</v>
      </c>
    </row>
    <row r="2011" spans="1:6" x14ac:dyDescent="0.25">
      <c r="A2011" t="s">
        <v>1177</v>
      </c>
      <c r="B2011" s="248">
        <v>9129</v>
      </c>
      <c r="C2011" t="s">
        <v>4968</v>
      </c>
      <c r="D2011" t="s">
        <v>3053</v>
      </c>
      <c r="E2011" s="249" t="s">
        <v>3046</v>
      </c>
      <c r="F2011">
        <v>2009</v>
      </c>
    </row>
    <row r="2012" spans="1:6" x14ac:dyDescent="0.25">
      <c r="A2012" t="s">
        <v>405</v>
      </c>
      <c r="B2012" s="248">
        <v>347.5</v>
      </c>
      <c r="C2012" t="s">
        <v>4969</v>
      </c>
      <c r="D2012" t="s">
        <v>3053</v>
      </c>
      <c r="E2012" s="249" t="s">
        <v>3043</v>
      </c>
      <c r="F2012">
        <v>2010</v>
      </c>
    </row>
    <row r="2013" spans="1:6" x14ac:dyDescent="0.25">
      <c r="A2013" t="s">
        <v>406</v>
      </c>
      <c r="B2013" s="248">
        <v>393.5</v>
      </c>
      <c r="C2013" t="s">
        <v>4970</v>
      </c>
      <c r="D2013" t="s">
        <v>3053</v>
      </c>
      <c r="E2013" s="249" t="s">
        <v>3043</v>
      </c>
      <c r="F2013">
        <v>2011</v>
      </c>
    </row>
    <row r="2014" spans="1:6" x14ac:dyDescent="0.25">
      <c r="A2014" t="s">
        <v>407</v>
      </c>
      <c r="B2014" s="248">
        <v>472</v>
      </c>
      <c r="C2014" t="s">
        <v>4971</v>
      </c>
      <c r="D2014" t="s">
        <v>3053</v>
      </c>
      <c r="E2014" s="249" t="s">
        <v>3043</v>
      </c>
      <c r="F2014">
        <v>2012</v>
      </c>
    </row>
    <row r="2015" spans="1:6" x14ac:dyDescent="0.25">
      <c r="A2015" t="s">
        <v>408</v>
      </c>
      <c r="B2015" s="248">
        <v>749</v>
      </c>
      <c r="C2015" t="s">
        <v>4972</v>
      </c>
      <c r="D2015" t="s">
        <v>3053</v>
      </c>
      <c r="E2015" s="249" t="s">
        <v>3043</v>
      </c>
      <c r="F2015">
        <v>2013</v>
      </c>
    </row>
    <row r="2016" spans="1:6" x14ac:dyDescent="0.25">
      <c r="A2016" t="s">
        <v>409</v>
      </c>
      <c r="B2016" s="248">
        <v>1200</v>
      </c>
      <c r="C2016" t="s">
        <v>4973</v>
      </c>
      <c r="D2016" t="s">
        <v>3053</v>
      </c>
      <c r="E2016" s="249" t="s">
        <v>3043</v>
      </c>
      <c r="F2016">
        <v>2014</v>
      </c>
    </row>
    <row r="2017" spans="1:6" x14ac:dyDescent="0.25">
      <c r="A2017" t="s">
        <v>410</v>
      </c>
      <c r="B2017" s="248">
        <v>1323</v>
      </c>
      <c r="C2017" t="s">
        <v>4974</v>
      </c>
      <c r="D2017" t="s">
        <v>3053</v>
      </c>
      <c r="E2017" s="249" t="s">
        <v>3043</v>
      </c>
      <c r="F2017">
        <v>2015</v>
      </c>
    </row>
    <row r="2018" spans="1:6" x14ac:dyDescent="0.25">
      <c r="A2018" t="s">
        <v>411</v>
      </c>
      <c r="B2018" s="248">
        <v>2444</v>
      </c>
      <c r="C2018" t="s">
        <v>4975</v>
      </c>
      <c r="D2018" t="s">
        <v>3053</v>
      </c>
      <c r="E2018" s="249" t="s">
        <v>3043</v>
      </c>
      <c r="F2018">
        <v>2016</v>
      </c>
    </row>
    <row r="2019" spans="1:6" x14ac:dyDescent="0.25">
      <c r="A2019" t="s">
        <v>412</v>
      </c>
      <c r="B2019" s="248">
        <v>4572</v>
      </c>
      <c r="C2019" t="s">
        <v>4976</v>
      </c>
      <c r="D2019" t="s">
        <v>3053</v>
      </c>
      <c r="E2019" s="249" t="s">
        <v>3043</v>
      </c>
      <c r="F2019">
        <v>2017</v>
      </c>
    </row>
    <row r="2020" spans="1:6" x14ac:dyDescent="0.25">
      <c r="A2020" t="s">
        <v>413</v>
      </c>
      <c r="B2020" s="248">
        <v>6806</v>
      </c>
      <c r="C2020" t="s">
        <v>4977</v>
      </c>
      <c r="D2020" t="s">
        <v>3053</v>
      </c>
      <c r="E2020" s="249" t="s">
        <v>3043</v>
      </c>
      <c r="F2020">
        <v>2018</v>
      </c>
    </row>
    <row r="2021" spans="1:6" x14ac:dyDescent="0.25">
      <c r="A2021" t="s">
        <v>414</v>
      </c>
      <c r="B2021" s="248">
        <v>9800</v>
      </c>
      <c r="C2021" t="s">
        <v>4978</v>
      </c>
      <c r="D2021" t="s">
        <v>3053</v>
      </c>
      <c r="E2021" s="249" t="s">
        <v>3043</v>
      </c>
      <c r="F2021">
        <v>2019</v>
      </c>
    </row>
    <row r="2022" spans="1:6" x14ac:dyDescent="0.25">
      <c r="A2022" t="s">
        <v>415</v>
      </c>
      <c r="B2022" s="248">
        <v>13872</v>
      </c>
      <c r="C2022" t="s">
        <v>4979</v>
      </c>
      <c r="D2022" t="s">
        <v>3053</v>
      </c>
      <c r="E2022" s="249" t="s">
        <v>3043</v>
      </c>
      <c r="F2022">
        <v>2020</v>
      </c>
    </row>
    <row r="2023" spans="1:6" x14ac:dyDescent="0.25">
      <c r="A2023" t="s">
        <v>401</v>
      </c>
      <c r="B2023" s="248">
        <v>23839</v>
      </c>
      <c r="C2023" t="s">
        <v>4980</v>
      </c>
      <c r="D2023" t="s">
        <v>3053</v>
      </c>
      <c r="E2023" s="249" t="s">
        <v>3043</v>
      </c>
      <c r="F2023">
        <v>2021</v>
      </c>
    </row>
    <row r="2024" spans="1:6" x14ac:dyDescent="0.25">
      <c r="A2024" t="s">
        <v>402</v>
      </c>
      <c r="B2024" s="248">
        <v>32420</v>
      </c>
      <c r="C2024" t="s">
        <v>4981</v>
      </c>
      <c r="D2024" t="s">
        <v>3053</v>
      </c>
      <c r="E2024" s="249" t="s">
        <v>3043</v>
      </c>
      <c r="F2024">
        <v>2022</v>
      </c>
    </row>
    <row r="2025" spans="1:6" x14ac:dyDescent="0.25">
      <c r="A2025" t="s">
        <v>417</v>
      </c>
      <c r="B2025" s="248">
        <v>25498</v>
      </c>
      <c r="C2025" t="s">
        <v>4982</v>
      </c>
      <c r="D2025" t="s">
        <v>3053</v>
      </c>
      <c r="E2025" s="249" t="s">
        <v>3043</v>
      </c>
      <c r="F2025">
        <v>2023</v>
      </c>
    </row>
    <row r="2026" spans="1:6" x14ac:dyDescent="0.25">
      <c r="A2026" t="s">
        <v>416</v>
      </c>
      <c r="B2026" s="248">
        <v>18888</v>
      </c>
      <c r="C2026" t="s">
        <v>4983</v>
      </c>
      <c r="D2026" t="s">
        <v>3053</v>
      </c>
      <c r="E2026" s="249" t="s">
        <v>3043</v>
      </c>
      <c r="F2026">
        <v>2024</v>
      </c>
    </row>
    <row r="2027" spans="1:6" x14ac:dyDescent="0.25">
      <c r="A2027" t="s">
        <v>418</v>
      </c>
      <c r="B2027" s="248">
        <v>38978</v>
      </c>
      <c r="C2027" t="s">
        <v>4984</v>
      </c>
      <c r="D2027" t="s">
        <v>3053</v>
      </c>
      <c r="E2027" s="249" t="s">
        <v>3043</v>
      </c>
      <c r="F2027">
        <v>2025</v>
      </c>
    </row>
    <row r="2028" spans="1:6" x14ac:dyDescent="0.25">
      <c r="A2028" t="s">
        <v>1299</v>
      </c>
      <c r="B2028" s="248">
        <v>299</v>
      </c>
      <c r="C2028" t="s">
        <v>4985</v>
      </c>
      <c r="D2028" t="s">
        <v>3053</v>
      </c>
      <c r="E2028" s="249" t="s">
        <v>3047</v>
      </c>
      <c r="F2028">
        <v>2026</v>
      </c>
    </row>
    <row r="2029" spans="1:6" x14ac:dyDescent="0.25">
      <c r="A2029" t="s">
        <v>1300</v>
      </c>
      <c r="B2029" s="248">
        <v>379.5</v>
      </c>
      <c r="C2029" t="s">
        <v>4986</v>
      </c>
      <c r="D2029" t="s">
        <v>3053</v>
      </c>
      <c r="E2029" s="249" t="s">
        <v>3047</v>
      </c>
      <c r="F2029">
        <v>2027</v>
      </c>
    </row>
    <row r="2030" spans="1:6" x14ac:dyDescent="0.25">
      <c r="A2030" t="s">
        <v>1301</v>
      </c>
      <c r="B2030" s="248">
        <v>387</v>
      </c>
      <c r="C2030" t="s">
        <v>4987</v>
      </c>
      <c r="D2030" t="s">
        <v>3053</v>
      </c>
      <c r="E2030" s="249" t="s">
        <v>3047</v>
      </c>
      <c r="F2030">
        <v>2028</v>
      </c>
    </row>
    <row r="2031" spans="1:6" x14ac:dyDescent="0.25">
      <c r="A2031" t="s">
        <v>1303</v>
      </c>
      <c r="B2031" s="248">
        <v>556</v>
      </c>
      <c r="C2031" t="s">
        <v>4988</v>
      </c>
      <c r="D2031" t="s">
        <v>3053</v>
      </c>
      <c r="E2031" s="249" t="s">
        <v>3047</v>
      </c>
      <c r="F2031">
        <v>2029</v>
      </c>
    </row>
    <row r="2032" spans="1:6" x14ac:dyDescent="0.25">
      <c r="A2032" t="s">
        <v>1304</v>
      </c>
      <c r="B2032" s="248">
        <v>665</v>
      </c>
      <c r="C2032" t="s">
        <v>4989</v>
      </c>
      <c r="D2032" t="s">
        <v>3053</v>
      </c>
      <c r="E2032" s="249" t="s">
        <v>3047</v>
      </c>
      <c r="F2032">
        <v>2030</v>
      </c>
    </row>
    <row r="2033" spans="1:6" x14ac:dyDescent="0.25">
      <c r="A2033" t="s">
        <v>1305</v>
      </c>
      <c r="B2033" s="248">
        <v>888</v>
      </c>
      <c r="C2033" t="s">
        <v>4990</v>
      </c>
      <c r="D2033" t="s">
        <v>3053</v>
      </c>
      <c r="E2033" s="249" t="s">
        <v>3047</v>
      </c>
      <c r="F2033">
        <v>2031</v>
      </c>
    </row>
    <row r="2034" spans="1:6" x14ac:dyDescent="0.25">
      <c r="A2034" t="s">
        <v>1306</v>
      </c>
      <c r="B2034" s="248">
        <v>1080</v>
      </c>
      <c r="C2034" t="s">
        <v>4991</v>
      </c>
      <c r="D2034" t="s">
        <v>3053</v>
      </c>
      <c r="E2034" s="249" t="s">
        <v>3047</v>
      </c>
      <c r="F2034">
        <v>2032</v>
      </c>
    </row>
    <row r="2035" spans="1:6" x14ac:dyDescent="0.25">
      <c r="A2035" t="s">
        <v>907</v>
      </c>
      <c r="B2035" s="248">
        <v>1416</v>
      </c>
      <c r="C2035" t="s">
        <v>4992</v>
      </c>
      <c r="D2035" t="s">
        <v>3053</v>
      </c>
      <c r="E2035" s="249" t="s">
        <v>3045</v>
      </c>
      <c r="F2035">
        <v>2033</v>
      </c>
    </row>
    <row r="2036" spans="1:6" x14ac:dyDescent="0.25">
      <c r="A2036" t="s">
        <v>1637</v>
      </c>
      <c r="B2036" s="248">
        <v>1491</v>
      </c>
      <c r="C2036" t="s">
        <v>4993</v>
      </c>
      <c r="D2036" t="s">
        <v>3053</v>
      </c>
      <c r="E2036" s="249" t="s">
        <v>3048</v>
      </c>
      <c r="F2036">
        <v>2034</v>
      </c>
    </row>
    <row r="2037" spans="1:6" x14ac:dyDescent="0.25">
      <c r="A2037" t="s">
        <v>1205</v>
      </c>
      <c r="B2037" s="248">
        <v>1905</v>
      </c>
      <c r="C2037" t="s">
        <v>4994</v>
      </c>
      <c r="D2037" t="s">
        <v>3053</v>
      </c>
      <c r="E2037" s="249" t="s">
        <v>3046</v>
      </c>
      <c r="F2037">
        <v>2035</v>
      </c>
    </row>
    <row r="2038" spans="1:6" x14ac:dyDescent="0.25">
      <c r="A2038" t="s">
        <v>765</v>
      </c>
      <c r="B2038" s="248">
        <v>679.5</v>
      </c>
      <c r="C2038" t="s">
        <v>4995</v>
      </c>
      <c r="D2038" t="s">
        <v>3053</v>
      </c>
      <c r="E2038" s="249" t="s">
        <v>3045</v>
      </c>
      <c r="F2038">
        <v>2036</v>
      </c>
    </row>
    <row r="2039" spans="1:6" x14ac:dyDescent="0.25">
      <c r="A2039" t="s">
        <v>1672</v>
      </c>
      <c r="B2039" s="248">
        <v>34219</v>
      </c>
      <c r="C2039" t="s">
        <v>4996</v>
      </c>
      <c r="D2039" t="s">
        <v>3053</v>
      </c>
      <c r="E2039" s="249" t="s">
        <v>3048</v>
      </c>
      <c r="F2039">
        <v>2037</v>
      </c>
    </row>
    <row r="2040" spans="1:6" x14ac:dyDescent="0.25">
      <c r="A2040" t="s">
        <v>1681</v>
      </c>
      <c r="B2040" s="248">
        <v>23.5</v>
      </c>
      <c r="C2040" t="s">
        <v>4997</v>
      </c>
      <c r="D2040" t="s">
        <v>3204</v>
      </c>
      <c r="E2040" s="249" t="s">
        <v>3048</v>
      </c>
      <c r="F2040">
        <v>2038</v>
      </c>
    </row>
    <row r="2041" spans="1:6" x14ac:dyDescent="0.25">
      <c r="A2041" t="s">
        <v>797</v>
      </c>
      <c r="B2041" s="248">
        <v>57.5</v>
      </c>
      <c r="C2041" t="s">
        <v>4998</v>
      </c>
      <c r="D2041" t="s">
        <v>3204</v>
      </c>
      <c r="E2041" s="249" t="s">
        <v>3045</v>
      </c>
      <c r="F2041">
        <v>2039</v>
      </c>
    </row>
    <row r="2042" spans="1:6" x14ac:dyDescent="0.25">
      <c r="A2042" t="s">
        <v>453</v>
      </c>
      <c r="B2042" s="248">
        <v>204</v>
      </c>
      <c r="C2042" t="s">
        <v>4999</v>
      </c>
      <c r="D2042" t="s">
        <v>3204</v>
      </c>
      <c r="E2042" s="249" t="s">
        <v>3043</v>
      </c>
      <c r="F2042">
        <v>2040</v>
      </c>
    </row>
    <row r="2043" spans="1:6" x14ac:dyDescent="0.25">
      <c r="A2043" t="s">
        <v>2958</v>
      </c>
      <c r="B2043" s="248">
        <v>3322</v>
      </c>
      <c r="C2043" t="s">
        <v>5000</v>
      </c>
      <c r="D2043" t="s">
        <v>3204</v>
      </c>
      <c r="E2043" s="249" t="s">
        <v>3050</v>
      </c>
      <c r="F2043">
        <v>2041</v>
      </c>
    </row>
    <row r="2044" spans="1:6" x14ac:dyDescent="0.25">
      <c r="A2044" t="s">
        <v>1469</v>
      </c>
      <c r="B2044" s="248">
        <v>1384</v>
      </c>
      <c r="C2044" t="s">
        <v>5001</v>
      </c>
      <c r="D2044" t="s">
        <v>3053</v>
      </c>
      <c r="E2044" s="249" t="s">
        <v>3047</v>
      </c>
      <c r="F2044">
        <v>2042</v>
      </c>
    </row>
    <row r="2045" spans="1:6" x14ac:dyDescent="0.25">
      <c r="A2045" t="s">
        <v>455</v>
      </c>
      <c r="B2045" s="248">
        <v>1246</v>
      </c>
      <c r="C2045" t="s">
        <v>5002</v>
      </c>
      <c r="D2045" t="s">
        <v>3204</v>
      </c>
      <c r="E2045" s="249" t="s">
        <v>3043</v>
      </c>
      <c r="F2045">
        <v>2043</v>
      </c>
    </row>
    <row r="2046" spans="1:6" x14ac:dyDescent="0.25">
      <c r="A2046" t="s">
        <v>394</v>
      </c>
      <c r="B2046" s="248">
        <v>3574</v>
      </c>
      <c r="C2046" t="s">
        <v>5003</v>
      </c>
      <c r="D2046" t="s">
        <v>3053</v>
      </c>
      <c r="E2046" s="249" t="s">
        <v>3043</v>
      </c>
      <c r="F2046">
        <v>2044</v>
      </c>
    </row>
    <row r="2047" spans="1:6" x14ac:dyDescent="0.25">
      <c r="A2047" t="s">
        <v>2884</v>
      </c>
      <c r="B2047" s="248">
        <v>21915</v>
      </c>
      <c r="C2047" t="s">
        <v>5004</v>
      </c>
      <c r="D2047" t="s">
        <v>3056</v>
      </c>
      <c r="E2047" s="249" t="s">
        <v>3028</v>
      </c>
      <c r="F2047">
        <v>2045</v>
      </c>
    </row>
    <row r="2048" spans="1:6" x14ac:dyDescent="0.25">
      <c r="A2048" t="s">
        <v>1863</v>
      </c>
      <c r="B2048" s="248">
        <v>2904</v>
      </c>
      <c r="C2048" t="s">
        <v>5005</v>
      </c>
      <c r="D2048" t="s">
        <v>3053</v>
      </c>
      <c r="E2048" s="249" t="s">
        <v>3049</v>
      </c>
      <c r="F2048">
        <v>2046</v>
      </c>
    </row>
    <row r="2049" spans="1:6" x14ac:dyDescent="0.25">
      <c r="A2049" t="s">
        <v>1932</v>
      </c>
      <c r="B2049" s="248">
        <v>10253</v>
      </c>
      <c r="C2049" t="s">
        <v>5006</v>
      </c>
      <c r="D2049" t="s">
        <v>3053</v>
      </c>
      <c r="E2049" s="249" t="s">
        <v>3001</v>
      </c>
      <c r="F2049">
        <v>2047</v>
      </c>
    </row>
    <row r="2050" spans="1:6" x14ac:dyDescent="0.25">
      <c r="A2050" t="s">
        <v>1538</v>
      </c>
      <c r="B2050" s="248">
        <v>3239</v>
      </c>
      <c r="C2050" t="s">
        <v>5007</v>
      </c>
      <c r="D2050" t="s">
        <v>3204</v>
      </c>
      <c r="E2050" s="249" t="s">
        <v>3047</v>
      </c>
      <c r="F2050">
        <v>2048</v>
      </c>
    </row>
    <row r="2051" spans="1:6" x14ac:dyDescent="0.25">
      <c r="A2051" t="s">
        <v>956</v>
      </c>
      <c r="B2051" s="248">
        <v>1774</v>
      </c>
      <c r="C2051" t="s">
        <v>5008</v>
      </c>
      <c r="D2051" t="s">
        <v>3053</v>
      </c>
      <c r="E2051" s="249" t="s">
        <v>3045</v>
      </c>
      <c r="F2051">
        <v>2049</v>
      </c>
    </row>
    <row r="2052" spans="1:6" x14ac:dyDescent="0.25">
      <c r="A2052" t="s">
        <v>2412</v>
      </c>
      <c r="B2052" s="248">
        <v>1652</v>
      </c>
      <c r="C2052" t="s">
        <v>5009</v>
      </c>
      <c r="D2052" t="s">
        <v>3241</v>
      </c>
      <c r="E2052" s="249" t="s">
        <v>3020</v>
      </c>
      <c r="F2052">
        <v>2050</v>
      </c>
    </row>
    <row r="2053" spans="1:6" x14ac:dyDescent="0.25">
      <c r="A2053" t="s">
        <v>1764</v>
      </c>
      <c r="B2053" s="248">
        <v>996.5</v>
      </c>
      <c r="C2053" t="s">
        <v>5010</v>
      </c>
      <c r="D2053" t="s">
        <v>3204</v>
      </c>
      <c r="E2053" s="249" t="s">
        <v>3048</v>
      </c>
      <c r="F2053">
        <v>2051</v>
      </c>
    </row>
    <row r="2054" spans="1:6" x14ac:dyDescent="0.25">
      <c r="A2054" t="s">
        <v>1868</v>
      </c>
      <c r="B2054" s="248">
        <v>3805</v>
      </c>
      <c r="C2054" t="s">
        <v>5011</v>
      </c>
      <c r="D2054" t="s">
        <v>3053</v>
      </c>
      <c r="E2054" s="249" t="s">
        <v>3049</v>
      </c>
      <c r="F2054">
        <v>2052</v>
      </c>
    </row>
    <row r="2055" spans="1:6" x14ac:dyDescent="0.25">
      <c r="A2055" t="s">
        <v>1230</v>
      </c>
      <c r="B2055" s="248">
        <v>3334</v>
      </c>
      <c r="C2055" t="s">
        <v>5012</v>
      </c>
      <c r="D2055" t="s">
        <v>3053</v>
      </c>
      <c r="E2055" s="249" t="s">
        <v>3046</v>
      </c>
      <c r="F2055">
        <v>2053</v>
      </c>
    </row>
    <row r="2056" spans="1:6" x14ac:dyDescent="0.25">
      <c r="A2056" t="s">
        <v>2577</v>
      </c>
      <c r="B2056" s="248">
        <v>32729</v>
      </c>
      <c r="C2056" t="s">
        <v>5013</v>
      </c>
      <c r="D2056" t="s">
        <v>3817</v>
      </c>
      <c r="E2056" s="249" t="s">
        <v>3050</v>
      </c>
      <c r="F2056">
        <v>2054</v>
      </c>
    </row>
    <row r="2057" spans="1:6" x14ac:dyDescent="0.25">
      <c r="A2057" t="s">
        <v>880</v>
      </c>
      <c r="B2057" s="248">
        <v>15314</v>
      </c>
      <c r="C2057" t="s">
        <v>5014</v>
      </c>
      <c r="D2057" t="s">
        <v>3053</v>
      </c>
      <c r="E2057" s="249" t="s">
        <v>3045</v>
      </c>
      <c r="F2057">
        <v>2055</v>
      </c>
    </row>
    <row r="2058" spans="1:6" x14ac:dyDescent="0.25">
      <c r="A2058" t="s">
        <v>1691</v>
      </c>
      <c r="B2058" s="248">
        <v>33.5</v>
      </c>
      <c r="C2058" t="s">
        <v>5015</v>
      </c>
      <c r="D2058" t="s">
        <v>3204</v>
      </c>
      <c r="E2058" s="249" t="s">
        <v>3048</v>
      </c>
      <c r="F2058">
        <v>2056</v>
      </c>
    </row>
    <row r="2059" spans="1:6" x14ac:dyDescent="0.25">
      <c r="A2059" t="s">
        <v>2400</v>
      </c>
      <c r="B2059" s="248">
        <v>884</v>
      </c>
      <c r="C2059" t="s">
        <v>5016</v>
      </c>
      <c r="D2059" t="s">
        <v>3241</v>
      </c>
      <c r="E2059" s="249" t="s">
        <v>3020</v>
      </c>
      <c r="F2059">
        <v>2057</v>
      </c>
    </row>
    <row r="2060" spans="1:6" x14ac:dyDescent="0.25">
      <c r="A2060" t="s">
        <v>973</v>
      </c>
      <c r="B2060" s="248">
        <v>15979</v>
      </c>
      <c r="C2060" t="s">
        <v>5017</v>
      </c>
      <c r="D2060" t="s">
        <v>3053</v>
      </c>
      <c r="E2060" s="249" t="s">
        <v>3045</v>
      </c>
      <c r="F2060">
        <v>2058</v>
      </c>
    </row>
    <row r="2061" spans="1:6" x14ac:dyDescent="0.25">
      <c r="A2061" t="s">
        <v>354</v>
      </c>
      <c r="B2061" s="248">
        <v>83.25</v>
      </c>
      <c r="C2061" t="s">
        <v>5018</v>
      </c>
      <c r="D2061" t="s">
        <v>3204</v>
      </c>
      <c r="E2061" s="249" t="s">
        <v>3043</v>
      </c>
      <c r="F2061">
        <v>2059</v>
      </c>
    </row>
    <row r="2062" spans="1:6" x14ac:dyDescent="0.25">
      <c r="A2062" t="s">
        <v>222</v>
      </c>
      <c r="B2062" s="248">
        <v>494.5</v>
      </c>
      <c r="C2062" t="s">
        <v>5019</v>
      </c>
      <c r="D2062" t="s">
        <v>3053</v>
      </c>
      <c r="E2062" s="249" t="s">
        <v>3043</v>
      </c>
      <c r="F2062">
        <v>2060</v>
      </c>
    </row>
    <row r="2063" spans="1:6" x14ac:dyDescent="0.25">
      <c r="A2063" t="s">
        <v>2428</v>
      </c>
      <c r="B2063" s="248">
        <v>12817</v>
      </c>
      <c r="C2063" t="s">
        <v>5020</v>
      </c>
      <c r="D2063" t="s">
        <v>3241</v>
      </c>
      <c r="E2063" s="249" t="s">
        <v>3020</v>
      </c>
      <c r="F2063">
        <v>2061</v>
      </c>
    </row>
    <row r="2064" spans="1:6" x14ac:dyDescent="0.25">
      <c r="A2064" t="s">
        <v>1377</v>
      </c>
      <c r="B2064" s="248">
        <v>1129</v>
      </c>
      <c r="C2064" t="s">
        <v>5021</v>
      </c>
      <c r="D2064" t="s">
        <v>3053</v>
      </c>
      <c r="E2064" s="249" t="s">
        <v>3047</v>
      </c>
      <c r="F2064">
        <v>2062</v>
      </c>
    </row>
    <row r="2065" spans="1:6" x14ac:dyDescent="0.25">
      <c r="A2065" t="s">
        <v>1805</v>
      </c>
      <c r="B2065" s="248">
        <v>2827</v>
      </c>
      <c r="C2065" t="s">
        <v>5022</v>
      </c>
      <c r="D2065" t="s">
        <v>3053</v>
      </c>
      <c r="E2065" s="249" t="s">
        <v>3049</v>
      </c>
      <c r="F2065">
        <v>2063</v>
      </c>
    </row>
    <row r="2066" spans="1:6" x14ac:dyDescent="0.25">
      <c r="A2066" t="s">
        <v>255</v>
      </c>
      <c r="B2066" s="248">
        <v>6920</v>
      </c>
      <c r="C2066" t="s">
        <v>5023</v>
      </c>
      <c r="D2066" t="s">
        <v>3053</v>
      </c>
      <c r="E2066" s="249" t="s">
        <v>3043</v>
      </c>
      <c r="F2066">
        <v>2064</v>
      </c>
    </row>
    <row r="2067" spans="1:6" x14ac:dyDescent="0.25">
      <c r="A2067" t="s">
        <v>1260</v>
      </c>
      <c r="B2067" s="248">
        <v>3230</v>
      </c>
      <c r="C2067" t="s">
        <v>5024</v>
      </c>
      <c r="D2067" t="s">
        <v>3053</v>
      </c>
      <c r="E2067" s="249" t="s">
        <v>3046</v>
      </c>
      <c r="F2067">
        <v>2065</v>
      </c>
    </row>
    <row r="2068" spans="1:6" x14ac:dyDescent="0.25">
      <c r="A2068" t="s">
        <v>1553</v>
      </c>
      <c r="B2068" s="248">
        <v>3532</v>
      </c>
      <c r="C2068" t="s">
        <v>5025</v>
      </c>
      <c r="D2068" t="s">
        <v>3204</v>
      </c>
      <c r="E2068" s="249" t="s">
        <v>3047</v>
      </c>
      <c r="F2068">
        <v>2066</v>
      </c>
    </row>
    <row r="2069" spans="1:6" x14ac:dyDescent="0.25">
      <c r="A2069" t="s">
        <v>1579</v>
      </c>
      <c r="B2069" s="248">
        <v>9924</v>
      </c>
      <c r="C2069" t="s">
        <v>5026</v>
      </c>
      <c r="D2069" t="s">
        <v>3053</v>
      </c>
      <c r="E2069" s="249" t="s">
        <v>3047</v>
      </c>
      <c r="F2069">
        <v>2067</v>
      </c>
    </row>
    <row r="2070" spans="1:6" x14ac:dyDescent="0.25">
      <c r="A2070" t="s">
        <v>1370</v>
      </c>
      <c r="B2070" s="248">
        <v>632</v>
      </c>
      <c r="C2070" t="s">
        <v>5027</v>
      </c>
      <c r="D2070" t="s">
        <v>3053</v>
      </c>
      <c r="E2070" s="249" t="s">
        <v>3047</v>
      </c>
      <c r="F2070">
        <v>2068</v>
      </c>
    </row>
    <row r="2071" spans="1:6" x14ac:dyDescent="0.25">
      <c r="A2071" t="s">
        <v>2883</v>
      </c>
      <c r="B2071" s="248">
        <v>14711</v>
      </c>
      <c r="C2071" t="s">
        <v>5029</v>
      </c>
      <c r="D2071" t="s">
        <v>3056</v>
      </c>
      <c r="E2071" s="249" t="s">
        <v>3028</v>
      </c>
      <c r="F2071">
        <v>2069</v>
      </c>
    </row>
    <row r="2072" spans="1:6" x14ac:dyDescent="0.25">
      <c r="A2072" t="s">
        <v>931</v>
      </c>
      <c r="B2072" s="248">
        <v>225</v>
      </c>
      <c r="C2072" t="s">
        <v>5032</v>
      </c>
      <c r="D2072" t="s">
        <v>3204</v>
      </c>
      <c r="E2072" s="249" t="s">
        <v>3045</v>
      </c>
      <c r="F2072">
        <v>2070</v>
      </c>
    </row>
    <row r="2073" spans="1:6" x14ac:dyDescent="0.25">
      <c r="A2073" t="s">
        <v>302</v>
      </c>
      <c r="B2073" s="248">
        <v>707</v>
      </c>
      <c r="C2073" t="s">
        <v>5035</v>
      </c>
      <c r="D2073" t="s">
        <v>3204</v>
      </c>
      <c r="E2073" s="249" t="s">
        <v>3045</v>
      </c>
      <c r="F2073">
        <v>2071</v>
      </c>
    </row>
    <row r="2074" spans="1:6" x14ac:dyDescent="0.25">
      <c r="A2074" t="s">
        <v>1793</v>
      </c>
      <c r="B2074" s="248">
        <v>692.5</v>
      </c>
      <c r="C2074" t="s">
        <v>5037</v>
      </c>
      <c r="D2074" t="s">
        <v>3053</v>
      </c>
      <c r="E2074" s="249" t="s">
        <v>3049</v>
      </c>
      <c r="F2074">
        <v>2072</v>
      </c>
    </row>
    <row r="2075" spans="1:6" x14ac:dyDescent="0.25">
      <c r="A2075" t="s">
        <v>693</v>
      </c>
      <c r="B2075" s="248">
        <v>24.75</v>
      </c>
      <c r="C2075" t="s">
        <v>5039</v>
      </c>
      <c r="D2075" t="s">
        <v>3204</v>
      </c>
      <c r="E2075" s="249" t="s">
        <v>3045</v>
      </c>
      <c r="F2075">
        <v>2073</v>
      </c>
    </row>
    <row r="2076" spans="1:6" x14ac:dyDescent="0.25">
      <c r="A2076" t="s">
        <v>695</v>
      </c>
      <c r="B2076" s="248">
        <v>33.5</v>
      </c>
      <c r="C2076" t="s">
        <v>5042</v>
      </c>
      <c r="D2076" t="s">
        <v>3204</v>
      </c>
      <c r="E2076" s="249" t="s">
        <v>3045</v>
      </c>
      <c r="F2076">
        <v>2074</v>
      </c>
    </row>
    <row r="2077" spans="1:6" x14ac:dyDescent="0.25">
      <c r="A2077" t="s">
        <v>5808</v>
      </c>
      <c r="B2077" s="248">
        <v>4659</v>
      </c>
      <c r="C2077" t="s">
        <v>5974</v>
      </c>
      <c r="D2077" t="s">
        <v>3053</v>
      </c>
      <c r="E2077" s="249" t="s">
        <v>3046</v>
      </c>
      <c r="F2077">
        <v>2075</v>
      </c>
    </row>
    <row r="2078" spans="1:6" x14ac:dyDescent="0.25">
      <c r="A2078" t="s">
        <v>1774</v>
      </c>
      <c r="B2078" s="248">
        <v>2998</v>
      </c>
      <c r="C2078" t="s">
        <v>5043</v>
      </c>
      <c r="D2078" t="s">
        <v>3053</v>
      </c>
      <c r="E2078" s="249" t="s">
        <v>3048</v>
      </c>
      <c r="F2078">
        <v>2076</v>
      </c>
    </row>
    <row r="2079" spans="1:6" x14ac:dyDescent="0.25">
      <c r="A2079" t="s">
        <v>528</v>
      </c>
      <c r="B2079" s="248">
        <v>9</v>
      </c>
      <c r="C2079" t="s">
        <v>5044</v>
      </c>
      <c r="D2079" t="s">
        <v>3204</v>
      </c>
      <c r="E2079" s="249" t="s">
        <v>3044</v>
      </c>
      <c r="F2079">
        <v>2077</v>
      </c>
    </row>
    <row r="2080" spans="1:6" x14ac:dyDescent="0.25">
      <c r="A2080" t="s">
        <v>336</v>
      </c>
      <c r="B2080" s="248">
        <v>316</v>
      </c>
      <c r="C2080" t="s">
        <v>5045</v>
      </c>
      <c r="D2080" t="s">
        <v>3204</v>
      </c>
      <c r="E2080" s="249" t="s">
        <v>3045</v>
      </c>
      <c r="F2080">
        <v>2078</v>
      </c>
    </row>
    <row r="2081" spans="1:6" x14ac:dyDescent="0.25">
      <c r="A2081" t="s">
        <v>1614</v>
      </c>
      <c r="B2081" s="248">
        <v>2942</v>
      </c>
      <c r="C2081" t="s">
        <v>5046</v>
      </c>
      <c r="D2081" t="s">
        <v>3053</v>
      </c>
      <c r="E2081" s="249" t="s">
        <v>3047</v>
      </c>
      <c r="F2081">
        <v>2079</v>
      </c>
    </row>
    <row r="2082" spans="1:6" x14ac:dyDescent="0.25">
      <c r="A2082" t="s">
        <v>350</v>
      </c>
      <c r="B2082" s="248">
        <v>394.5</v>
      </c>
      <c r="C2082" t="s">
        <v>5047</v>
      </c>
      <c r="D2082" t="s">
        <v>3204</v>
      </c>
      <c r="E2082" s="249" t="s">
        <v>3045</v>
      </c>
      <c r="F2082">
        <v>2080</v>
      </c>
    </row>
    <row r="2083" spans="1:6" x14ac:dyDescent="0.25">
      <c r="A2083" t="s">
        <v>1945</v>
      </c>
      <c r="B2083" s="248">
        <v>15641</v>
      </c>
      <c r="C2083" t="s">
        <v>5048</v>
      </c>
      <c r="D2083" t="s">
        <v>3053</v>
      </c>
      <c r="E2083" s="249" t="s">
        <v>3001</v>
      </c>
      <c r="F2083">
        <v>2081</v>
      </c>
    </row>
    <row r="2084" spans="1:6" x14ac:dyDescent="0.25">
      <c r="A2084" t="s">
        <v>1521</v>
      </c>
      <c r="B2084" s="248">
        <v>2492</v>
      </c>
      <c r="C2084" t="s">
        <v>5049</v>
      </c>
      <c r="D2084" t="s">
        <v>3204</v>
      </c>
      <c r="E2084" s="249" t="s">
        <v>3047</v>
      </c>
      <c r="F2084">
        <v>2082</v>
      </c>
    </row>
    <row r="2085" spans="1:6" x14ac:dyDescent="0.25">
      <c r="A2085" t="s">
        <v>1773</v>
      </c>
      <c r="B2085" s="248">
        <v>2791</v>
      </c>
      <c r="C2085" t="s">
        <v>5050</v>
      </c>
      <c r="D2085" t="s">
        <v>3053</v>
      </c>
      <c r="E2085" s="249" t="s">
        <v>3048</v>
      </c>
      <c r="F2085">
        <v>2083</v>
      </c>
    </row>
    <row r="2086" spans="1:6" x14ac:dyDescent="0.25">
      <c r="A2086" t="s">
        <v>738</v>
      </c>
      <c r="B2086" s="248">
        <v>353</v>
      </c>
      <c r="C2086" t="s">
        <v>5051</v>
      </c>
      <c r="D2086" t="s">
        <v>3053</v>
      </c>
      <c r="E2086" s="249" t="s">
        <v>3045</v>
      </c>
      <c r="F2086">
        <v>2084</v>
      </c>
    </row>
    <row r="2087" spans="1:6" x14ac:dyDescent="0.25">
      <c r="A2087" t="s">
        <v>243</v>
      </c>
      <c r="B2087" s="248">
        <v>1179</v>
      </c>
      <c r="C2087" t="s">
        <v>5052</v>
      </c>
      <c r="D2087" t="s">
        <v>3053</v>
      </c>
      <c r="E2087" s="249" t="s">
        <v>3043</v>
      </c>
      <c r="F2087">
        <v>2085</v>
      </c>
    </row>
    <row r="2088" spans="1:6" x14ac:dyDescent="0.25">
      <c r="A2088" t="s">
        <v>2879</v>
      </c>
      <c r="B2088" s="248">
        <v>3024</v>
      </c>
      <c r="C2088" t="s">
        <v>5053</v>
      </c>
      <c r="D2088" t="s">
        <v>3056</v>
      </c>
      <c r="E2088" s="249" t="s">
        <v>3028</v>
      </c>
      <c r="F2088">
        <v>2086</v>
      </c>
    </row>
    <row r="2089" spans="1:6" x14ac:dyDescent="0.25">
      <c r="A2089" t="s">
        <v>1865</v>
      </c>
      <c r="B2089" s="248">
        <v>3339</v>
      </c>
      <c r="C2089" t="s">
        <v>5054</v>
      </c>
      <c r="D2089" t="s">
        <v>3053</v>
      </c>
      <c r="E2089" s="249" t="s">
        <v>3049</v>
      </c>
      <c r="F2089">
        <v>2087</v>
      </c>
    </row>
    <row r="2090" spans="1:6" x14ac:dyDescent="0.25">
      <c r="A2090" t="s">
        <v>2881</v>
      </c>
      <c r="B2090" s="248">
        <v>4597</v>
      </c>
      <c r="C2090" t="s">
        <v>5055</v>
      </c>
      <c r="D2090" t="s">
        <v>3056</v>
      </c>
      <c r="E2090" s="249" t="s">
        <v>3028</v>
      </c>
      <c r="F2090">
        <v>2088</v>
      </c>
    </row>
    <row r="2091" spans="1:6" x14ac:dyDescent="0.25">
      <c r="A2091" t="s">
        <v>904</v>
      </c>
      <c r="B2091" s="248">
        <v>1367</v>
      </c>
      <c r="C2091" t="s">
        <v>5056</v>
      </c>
      <c r="D2091" t="s">
        <v>3053</v>
      </c>
      <c r="E2091" s="249" t="s">
        <v>3045</v>
      </c>
      <c r="F2091">
        <v>2089</v>
      </c>
    </row>
    <row r="2092" spans="1:6" x14ac:dyDescent="0.25">
      <c r="A2092" t="s">
        <v>1105</v>
      </c>
      <c r="B2092" s="248">
        <v>654.5</v>
      </c>
      <c r="C2092" t="s">
        <v>5057</v>
      </c>
      <c r="D2092" t="s">
        <v>3053</v>
      </c>
      <c r="E2092" s="249" t="s">
        <v>3046</v>
      </c>
      <c r="F2092">
        <v>2090</v>
      </c>
    </row>
    <row r="2093" spans="1:6" x14ac:dyDescent="0.25">
      <c r="A2093" t="s">
        <v>1091</v>
      </c>
      <c r="B2093" s="248">
        <v>271</v>
      </c>
      <c r="C2093" t="s">
        <v>5058</v>
      </c>
      <c r="D2093" t="s">
        <v>3053</v>
      </c>
      <c r="E2093" s="249" t="s">
        <v>3046</v>
      </c>
      <c r="F2093">
        <v>2091</v>
      </c>
    </row>
    <row r="2094" spans="1:6" x14ac:dyDescent="0.25">
      <c r="A2094" t="s">
        <v>1836</v>
      </c>
      <c r="B2094" s="248">
        <v>3494</v>
      </c>
      <c r="C2094" t="s">
        <v>5059</v>
      </c>
      <c r="D2094" t="s">
        <v>3053</v>
      </c>
      <c r="E2094" s="249" t="s">
        <v>3049</v>
      </c>
      <c r="F2094">
        <v>2092</v>
      </c>
    </row>
    <row r="2095" spans="1:6" x14ac:dyDescent="0.25">
      <c r="A2095" t="s">
        <v>5922</v>
      </c>
      <c r="B2095" s="248">
        <v>48127</v>
      </c>
      <c r="C2095" t="s">
        <v>5995</v>
      </c>
      <c r="D2095" t="s">
        <v>3053</v>
      </c>
      <c r="E2095" s="249" t="s">
        <v>3046</v>
      </c>
      <c r="F2095">
        <v>2093</v>
      </c>
    </row>
    <row r="2096" spans="1:6" x14ac:dyDescent="0.25">
      <c r="A2096" t="s">
        <v>913</v>
      </c>
      <c r="B2096" s="248">
        <v>1690</v>
      </c>
      <c r="C2096" t="s">
        <v>5060</v>
      </c>
      <c r="D2096" t="s">
        <v>3053</v>
      </c>
      <c r="E2096" s="249" t="s">
        <v>3045</v>
      </c>
      <c r="F2096">
        <v>2094</v>
      </c>
    </row>
    <row r="2097" spans="1:6" x14ac:dyDescent="0.25">
      <c r="A2097" t="s">
        <v>373</v>
      </c>
      <c r="B2097" s="248">
        <v>578.5</v>
      </c>
      <c r="C2097" t="s">
        <v>5061</v>
      </c>
      <c r="D2097" t="s">
        <v>3053</v>
      </c>
      <c r="E2097" s="249" t="s">
        <v>3043</v>
      </c>
      <c r="F2097">
        <v>2095</v>
      </c>
    </row>
    <row r="2098" spans="1:6" x14ac:dyDescent="0.25">
      <c r="A2098" t="s">
        <v>1704</v>
      </c>
      <c r="B2098" s="248">
        <v>2698</v>
      </c>
      <c r="C2098" t="s">
        <v>5062</v>
      </c>
      <c r="D2098" t="s">
        <v>3053</v>
      </c>
      <c r="E2098" s="249" t="s">
        <v>3048</v>
      </c>
      <c r="F2098">
        <v>2096</v>
      </c>
    </row>
    <row r="2099" spans="1:6" x14ac:dyDescent="0.25">
      <c r="A2099" t="s">
        <v>1934</v>
      </c>
      <c r="B2099" s="248">
        <v>6424</v>
      </c>
      <c r="C2099" t="s">
        <v>5063</v>
      </c>
      <c r="D2099" t="s">
        <v>3053</v>
      </c>
      <c r="E2099" s="249" t="s">
        <v>3001</v>
      </c>
      <c r="F2099">
        <v>2097</v>
      </c>
    </row>
    <row r="2100" spans="1:6" x14ac:dyDescent="0.25">
      <c r="A2100" t="s">
        <v>2737</v>
      </c>
      <c r="B2100" s="248">
        <v>3868</v>
      </c>
      <c r="C2100" t="s">
        <v>5064</v>
      </c>
      <c r="D2100" t="s">
        <v>3056</v>
      </c>
      <c r="E2100" s="249" t="s">
        <v>3028</v>
      </c>
      <c r="F2100">
        <v>2098</v>
      </c>
    </row>
    <row r="2101" spans="1:6" x14ac:dyDescent="0.25">
      <c r="A2101" t="s">
        <v>2374</v>
      </c>
      <c r="B2101" s="248">
        <v>33326</v>
      </c>
      <c r="C2101" t="s">
        <v>5065</v>
      </c>
      <c r="D2101" t="s">
        <v>3241</v>
      </c>
      <c r="E2101" s="249" t="s">
        <v>3020</v>
      </c>
      <c r="F2101">
        <v>2099</v>
      </c>
    </row>
    <row r="2102" spans="1:6" x14ac:dyDescent="0.25">
      <c r="A2102" t="s">
        <v>998</v>
      </c>
      <c r="B2102" s="248">
        <v>1825</v>
      </c>
      <c r="C2102" t="s">
        <v>5066</v>
      </c>
      <c r="D2102" t="s">
        <v>3053</v>
      </c>
      <c r="E2102" s="249" t="s">
        <v>3045</v>
      </c>
      <c r="F2102">
        <v>2100</v>
      </c>
    </row>
    <row r="2103" spans="1:6" x14ac:dyDescent="0.25">
      <c r="A2103" t="s">
        <v>188</v>
      </c>
      <c r="B2103" s="248">
        <v>558.5</v>
      </c>
      <c r="C2103" t="s">
        <v>5067</v>
      </c>
      <c r="D2103" t="s">
        <v>3053</v>
      </c>
      <c r="E2103" s="249" t="s">
        <v>3043</v>
      </c>
      <c r="F2103">
        <v>2101</v>
      </c>
    </row>
    <row r="2104" spans="1:6" x14ac:dyDescent="0.25">
      <c r="A2104" t="s">
        <v>1931</v>
      </c>
      <c r="B2104" s="248">
        <v>7736</v>
      </c>
      <c r="C2104" t="s">
        <v>5068</v>
      </c>
      <c r="D2104" t="s">
        <v>3053</v>
      </c>
      <c r="E2104" s="249" t="s">
        <v>3001</v>
      </c>
      <c r="F2104">
        <v>2102</v>
      </c>
    </row>
    <row r="2105" spans="1:6" x14ac:dyDescent="0.25">
      <c r="A2105" t="s">
        <v>2714</v>
      </c>
      <c r="B2105" s="248">
        <v>964</v>
      </c>
      <c r="C2105" t="s">
        <v>5070</v>
      </c>
      <c r="D2105" t="s">
        <v>3056</v>
      </c>
      <c r="E2105" s="249" t="s">
        <v>3028</v>
      </c>
      <c r="F2105">
        <v>2103</v>
      </c>
    </row>
    <row r="2106" spans="1:6" x14ac:dyDescent="0.25">
      <c r="A2106" t="s">
        <v>1766</v>
      </c>
      <c r="B2106" s="248">
        <v>2658</v>
      </c>
      <c r="C2106" t="s">
        <v>5071</v>
      </c>
      <c r="D2106" t="s">
        <v>3204</v>
      </c>
      <c r="E2106" s="249" t="s">
        <v>3048</v>
      </c>
      <c r="F2106">
        <v>2104</v>
      </c>
    </row>
    <row r="2107" spans="1:6" x14ac:dyDescent="0.25">
      <c r="A2107" t="s">
        <v>883</v>
      </c>
      <c r="B2107" s="248">
        <v>48940</v>
      </c>
      <c r="C2107" t="s">
        <v>5072</v>
      </c>
      <c r="D2107" t="s">
        <v>3053</v>
      </c>
      <c r="E2107" s="249" t="s">
        <v>3045</v>
      </c>
      <c r="F2107">
        <v>2105</v>
      </c>
    </row>
    <row r="2108" spans="1:6" x14ac:dyDescent="0.25">
      <c r="A2108" t="s">
        <v>915</v>
      </c>
      <c r="B2108" s="248">
        <v>2887</v>
      </c>
      <c r="C2108" t="s">
        <v>5073</v>
      </c>
      <c r="D2108" t="s">
        <v>3053</v>
      </c>
      <c r="E2108" s="249" t="s">
        <v>3045</v>
      </c>
      <c r="F2108">
        <v>2106</v>
      </c>
    </row>
    <row r="2109" spans="1:6" x14ac:dyDescent="0.25">
      <c r="A2109" t="s">
        <v>2372</v>
      </c>
      <c r="B2109" s="248">
        <v>23144</v>
      </c>
      <c r="C2109" t="s">
        <v>5074</v>
      </c>
      <c r="D2109" t="s">
        <v>3241</v>
      </c>
      <c r="E2109" s="249" t="s">
        <v>3020</v>
      </c>
      <c r="F2109">
        <v>2107</v>
      </c>
    </row>
    <row r="2110" spans="1:6" x14ac:dyDescent="0.25">
      <c r="A2110" t="s">
        <v>6220</v>
      </c>
      <c r="B2110" s="248">
        <v>41739</v>
      </c>
      <c r="C2110" t="s">
        <v>6221</v>
      </c>
      <c r="D2110" t="s">
        <v>3053</v>
      </c>
      <c r="E2110" s="249" t="s">
        <v>3045</v>
      </c>
      <c r="F2110">
        <v>2108</v>
      </c>
    </row>
    <row r="2111" spans="1:6" x14ac:dyDescent="0.25">
      <c r="A2111" t="s">
        <v>897</v>
      </c>
      <c r="B2111" s="248">
        <v>13652</v>
      </c>
      <c r="C2111" t="s">
        <v>5075</v>
      </c>
      <c r="D2111" t="s">
        <v>3053</v>
      </c>
      <c r="E2111" s="249" t="s">
        <v>3045</v>
      </c>
      <c r="F2111">
        <v>2109</v>
      </c>
    </row>
    <row r="2112" spans="1:6" x14ac:dyDescent="0.25">
      <c r="A2112" t="s">
        <v>985</v>
      </c>
      <c r="B2112" s="248">
        <v>14246</v>
      </c>
      <c r="C2112" t="s">
        <v>5076</v>
      </c>
      <c r="D2112" t="s">
        <v>3053</v>
      </c>
      <c r="E2112" s="249" t="s">
        <v>3045</v>
      </c>
      <c r="F2112">
        <v>2110</v>
      </c>
    </row>
    <row r="2113" spans="1:6" x14ac:dyDescent="0.25">
      <c r="A2113" t="s">
        <v>1937</v>
      </c>
      <c r="B2113" s="248">
        <v>9938</v>
      </c>
      <c r="C2113" t="s">
        <v>5077</v>
      </c>
      <c r="D2113" t="s">
        <v>3053</v>
      </c>
      <c r="E2113" s="249" t="s">
        <v>3001</v>
      </c>
      <c r="F2113">
        <v>2111</v>
      </c>
    </row>
    <row r="2114" spans="1:6" x14ac:dyDescent="0.25">
      <c r="A2114" t="s">
        <v>1936</v>
      </c>
      <c r="B2114" s="248">
        <v>9938</v>
      </c>
      <c r="C2114" t="s">
        <v>5078</v>
      </c>
      <c r="D2114" t="s">
        <v>3053</v>
      </c>
      <c r="E2114" s="249" t="s">
        <v>3001</v>
      </c>
      <c r="F2114">
        <v>2112</v>
      </c>
    </row>
    <row r="2115" spans="1:6" x14ac:dyDescent="0.25">
      <c r="A2115" t="s">
        <v>2375</v>
      </c>
      <c r="B2115" s="248">
        <v>39991</v>
      </c>
      <c r="C2115" t="s">
        <v>5079</v>
      </c>
      <c r="D2115" t="s">
        <v>3241</v>
      </c>
      <c r="E2115" s="249" t="s">
        <v>3020</v>
      </c>
      <c r="F2115">
        <v>2113</v>
      </c>
    </row>
    <row r="2116" spans="1:6" x14ac:dyDescent="0.25">
      <c r="A2116" t="s">
        <v>2315</v>
      </c>
      <c r="B2116" s="248">
        <v>460.5</v>
      </c>
      <c r="C2116" t="s">
        <v>5080</v>
      </c>
      <c r="D2116" t="s">
        <v>3241</v>
      </c>
      <c r="E2116" s="249" t="s">
        <v>3020</v>
      </c>
      <c r="F2116">
        <v>2114</v>
      </c>
    </row>
    <row r="2117" spans="1:6" x14ac:dyDescent="0.25">
      <c r="A2117" t="s">
        <v>2317</v>
      </c>
      <c r="B2117" s="248">
        <v>906.5</v>
      </c>
      <c r="C2117" t="s">
        <v>5081</v>
      </c>
      <c r="D2117" t="s">
        <v>3241</v>
      </c>
      <c r="E2117" s="249" t="s">
        <v>3020</v>
      </c>
      <c r="F2117">
        <v>2115</v>
      </c>
    </row>
    <row r="2118" spans="1:6" x14ac:dyDescent="0.25">
      <c r="A2118" t="s">
        <v>1028</v>
      </c>
      <c r="B2118" s="248">
        <v>2259</v>
      </c>
      <c r="C2118" t="s">
        <v>5083</v>
      </c>
      <c r="D2118" t="s">
        <v>3053</v>
      </c>
      <c r="E2118" s="249" t="s">
        <v>3045</v>
      </c>
      <c r="F2118">
        <v>2116</v>
      </c>
    </row>
    <row r="2119" spans="1:6" x14ac:dyDescent="0.25">
      <c r="A2119" t="s">
        <v>303</v>
      </c>
      <c r="B2119" s="248">
        <v>1485</v>
      </c>
      <c r="C2119" t="s">
        <v>5084</v>
      </c>
      <c r="D2119" t="s">
        <v>3204</v>
      </c>
      <c r="E2119" s="249" t="s">
        <v>3045</v>
      </c>
      <c r="F2119">
        <v>2117</v>
      </c>
    </row>
    <row r="2120" spans="1:6" x14ac:dyDescent="0.25">
      <c r="A2120" t="s">
        <v>2432</v>
      </c>
      <c r="B2120" s="248">
        <v>3205</v>
      </c>
      <c r="C2120" t="s">
        <v>5085</v>
      </c>
      <c r="D2120" t="s">
        <v>3241</v>
      </c>
      <c r="E2120" s="249" t="s">
        <v>3020</v>
      </c>
      <c r="F2120">
        <v>2118</v>
      </c>
    </row>
    <row r="2121" spans="1:6" x14ac:dyDescent="0.25">
      <c r="A2121" t="s">
        <v>1680</v>
      </c>
      <c r="B2121" s="248">
        <v>23.5</v>
      </c>
      <c r="C2121" t="s">
        <v>5086</v>
      </c>
      <c r="D2121" t="s">
        <v>3204</v>
      </c>
      <c r="E2121" s="249" t="s">
        <v>3048</v>
      </c>
      <c r="F2121">
        <v>2119</v>
      </c>
    </row>
    <row r="2122" spans="1:6" x14ac:dyDescent="0.25">
      <c r="A2122" t="s">
        <v>1214</v>
      </c>
      <c r="B2122" s="248">
        <v>3504</v>
      </c>
      <c r="C2122" t="s">
        <v>5087</v>
      </c>
      <c r="D2122" t="s">
        <v>3053</v>
      </c>
      <c r="E2122" s="249" t="s">
        <v>3046</v>
      </c>
      <c r="F2122">
        <v>2120</v>
      </c>
    </row>
    <row r="2123" spans="1:6" x14ac:dyDescent="0.25">
      <c r="A2123" t="s">
        <v>2590</v>
      </c>
      <c r="B2123" s="248">
        <v>4280</v>
      </c>
      <c r="C2123" t="s">
        <v>5088</v>
      </c>
      <c r="D2123" t="s">
        <v>3056</v>
      </c>
      <c r="E2123" s="249" t="s">
        <v>3028</v>
      </c>
      <c r="F2123">
        <v>2121</v>
      </c>
    </row>
    <row r="2124" spans="1:6" x14ac:dyDescent="0.25">
      <c r="A2124" t="s">
        <v>2250</v>
      </c>
      <c r="B2124" s="248">
        <v>53083</v>
      </c>
      <c r="C2124" t="s">
        <v>5089</v>
      </c>
      <c r="D2124" t="s">
        <v>3246</v>
      </c>
      <c r="E2124" s="249" t="s">
        <v>3018</v>
      </c>
      <c r="F2124">
        <v>2122</v>
      </c>
    </row>
    <row r="2125" spans="1:6" x14ac:dyDescent="0.25">
      <c r="A2125" t="s">
        <v>1625</v>
      </c>
      <c r="B2125" s="248">
        <v>537.5</v>
      </c>
      <c r="C2125" t="s">
        <v>5090</v>
      </c>
      <c r="D2125" t="s">
        <v>3053</v>
      </c>
      <c r="E2125" s="249" t="s">
        <v>3048</v>
      </c>
      <c r="F2125">
        <v>2123</v>
      </c>
    </row>
    <row r="2126" spans="1:6" x14ac:dyDescent="0.25">
      <c r="A2126" t="s">
        <v>1831</v>
      </c>
      <c r="B2126" s="248">
        <v>1230</v>
      </c>
      <c r="C2126" t="s">
        <v>5091</v>
      </c>
      <c r="D2126" t="s">
        <v>3053</v>
      </c>
      <c r="E2126" s="249" t="s">
        <v>3049</v>
      </c>
      <c r="F2126">
        <v>2124</v>
      </c>
    </row>
    <row r="2127" spans="1:6" x14ac:dyDescent="0.25">
      <c r="A2127" t="s">
        <v>5762</v>
      </c>
      <c r="B2127" s="248">
        <v>6241</v>
      </c>
      <c r="C2127" t="s">
        <v>5763</v>
      </c>
      <c r="D2127" t="s">
        <v>3053</v>
      </c>
      <c r="E2127" s="249" t="s">
        <v>3048</v>
      </c>
      <c r="F2127">
        <v>2125</v>
      </c>
    </row>
    <row r="2128" spans="1:6" x14ac:dyDescent="0.25">
      <c r="A2128" t="s">
        <v>877</v>
      </c>
      <c r="B2128" s="248">
        <v>10382</v>
      </c>
      <c r="C2128" t="s">
        <v>5092</v>
      </c>
      <c r="D2128" t="s">
        <v>3053</v>
      </c>
      <c r="E2128" s="249" t="s">
        <v>3045</v>
      </c>
      <c r="F2128">
        <v>2126</v>
      </c>
    </row>
    <row r="2129" spans="1:6" x14ac:dyDescent="0.25">
      <c r="A2129" t="s">
        <v>1749</v>
      </c>
      <c r="B2129" s="248">
        <v>3239</v>
      </c>
      <c r="C2129" t="s">
        <v>5093</v>
      </c>
      <c r="D2129" t="s">
        <v>3204</v>
      </c>
      <c r="E2129" s="249" t="s">
        <v>3048</v>
      </c>
      <c r="F2129">
        <v>2127</v>
      </c>
    </row>
    <row r="2130" spans="1:6" x14ac:dyDescent="0.25">
      <c r="A2130" t="s">
        <v>876</v>
      </c>
      <c r="B2130" s="248">
        <v>10382</v>
      </c>
      <c r="C2130" t="s">
        <v>5094</v>
      </c>
      <c r="D2130" t="s">
        <v>3053</v>
      </c>
      <c r="E2130" s="249" t="s">
        <v>3045</v>
      </c>
      <c r="F2130">
        <v>2128</v>
      </c>
    </row>
    <row r="2131" spans="1:6" x14ac:dyDescent="0.25">
      <c r="A2131" t="s">
        <v>1915</v>
      </c>
      <c r="B2131" s="248">
        <v>23139</v>
      </c>
      <c r="C2131" t="s">
        <v>5095</v>
      </c>
      <c r="D2131" t="s">
        <v>3053</v>
      </c>
      <c r="E2131" s="249" t="s">
        <v>3001</v>
      </c>
      <c r="F2131">
        <v>2129</v>
      </c>
    </row>
    <row r="2132" spans="1:6" x14ac:dyDescent="0.25">
      <c r="A2132" t="s">
        <v>2675</v>
      </c>
      <c r="B2132" s="248">
        <v>39185</v>
      </c>
      <c r="C2132" t="s">
        <v>5096</v>
      </c>
      <c r="D2132" t="s">
        <v>3056</v>
      </c>
      <c r="E2132" s="249" t="s">
        <v>3028</v>
      </c>
      <c r="F2132">
        <v>2130</v>
      </c>
    </row>
    <row r="2133" spans="1:6" x14ac:dyDescent="0.25">
      <c r="A2133" t="s">
        <v>1942</v>
      </c>
      <c r="B2133" s="248">
        <v>15433</v>
      </c>
      <c r="C2133" t="s">
        <v>5097</v>
      </c>
      <c r="D2133" t="s">
        <v>3053</v>
      </c>
      <c r="E2133" s="249" t="s">
        <v>3001</v>
      </c>
      <c r="F2133">
        <v>2131</v>
      </c>
    </row>
    <row r="2134" spans="1:6" x14ac:dyDescent="0.25">
      <c r="A2134" t="s">
        <v>2399</v>
      </c>
      <c r="B2134" s="248">
        <v>645</v>
      </c>
      <c r="C2134" t="s">
        <v>5098</v>
      </c>
      <c r="D2134" t="s">
        <v>3241</v>
      </c>
      <c r="E2134" s="249" t="s">
        <v>3020</v>
      </c>
      <c r="F2134">
        <v>2132</v>
      </c>
    </row>
    <row r="2135" spans="1:6" x14ac:dyDescent="0.25">
      <c r="A2135" t="s">
        <v>2423</v>
      </c>
      <c r="B2135" s="248">
        <v>1816</v>
      </c>
      <c r="C2135" t="s">
        <v>5099</v>
      </c>
      <c r="D2135" t="s">
        <v>3241</v>
      </c>
      <c r="E2135" s="249" t="s">
        <v>3020</v>
      </c>
      <c r="F2135">
        <v>2133</v>
      </c>
    </row>
    <row r="2136" spans="1:6" x14ac:dyDescent="0.25">
      <c r="A2136" t="s">
        <v>1392</v>
      </c>
      <c r="B2136" s="248">
        <v>18761</v>
      </c>
      <c r="C2136" t="s">
        <v>5100</v>
      </c>
      <c r="D2136" t="s">
        <v>3053</v>
      </c>
      <c r="E2136" s="249" t="s">
        <v>3047</v>
      </c>
      <c r="F2136">
        <v>2134</v>
      </c>
    </row>
    <row r="2137" spans="1:6" x14ac:dyDescent="0.25">
      <c r="A2137" t="s">
        <v>2403</v>
      </c>
      <c r="B2137" s="248">
        <v>1803</v>
      </c>
      <c r="C2137" t="s">
        <v>5101</v>
      </c>
      <c r="D2137" t="s">
        <v>3241</v>
      </c>
      <c r="E2137" s="249" t="s">
        <v>3020</v>
      </c>
      <c r="F2137">
        <v>2135</v>
      </c>
    </row>
    <row r="2138" spans="1:6" x14ac:dyDescent="0.25">
      <c r="A2138" t="s">
        <v>391</v>
      </c>
      <c r="B2138" s="248">
        <v>1936</v>
      </c>
      <c r="C2138" t="s">
        <v>5102</v>
      </c>
      <c r="D2138" t="s">
        <v>3053</v>
      </c>
      <c r="E2138" s="249" t="s">
        <v>3043</v>
      </c>
      <c r="F2138">
        <v>2136</v>
      </c>
    </row>
    <row r="2139" spans="1:6" x14ac:dyDescent="0.25">
      <c r="A2139" t="s">
        <v>1968</v>
      </c>
      <c r="B2139" s="248">
        <v>2492</v>
      </c>
      <c r="C2139" t="s">
        <v>5103</v>
      </c>
      <c r="D2139" t="s">
        <v>3204</v>
      </c>
      <c r="E2139" s="249" t="s">
        <v>3001</v>
      </c>
      <c r="F2139">
        <v>2137</v>
      </c>
    </row>
    <row r="2140" spans="1:6" x14ac:dyDescent="0.25">
      <c r="A2140" t="s">
        <v>1379</v>
      </c>
      <c r="B2140" s="248">
        <v>1525</v>
      </c>
      <c r="C2140" t="s">
        <v>5104</v>
      </c>
      <c r="D2140" t="s">
        <v>3053</v>
      </c>
      <c r="E2140" s="249" t="s">
        <v>3047</v>
      </c>
      <c r="F2140">
        <v>2138</v>
      </c>
    </row>
    <row r="2141" spans="1:6" x14ac:dyDescent="0.25">
      <c r="A2141" t="s">
        <v>939</v>
      </c>
      <c r="B2141" s="248">
        <v>1330</v>
      </c>
      <c r="C2141" t="s">
        <v>5105</v>
      </c>
      <c r="D2141" t="s">
        <v>3053</v>
      </c>
      <c r="E2141" s="249" t="s">
        <v>3045</v>
      </c>
      <c r="F2141">
        <v>2139</v>
      </c>
    </row>
    <row r="2142" spans="1:6" x14ac:dyDescent="0.25">
      <c r="A2142" t="s">
        <v>791</v>
      </c>
      <c r="B2142" s="248">
        <v>63.5</v>
      </c>
      <c r="C2142" t="s">
        <v>5106</v>
      </c>
      <c r="D2142" t="s">
        <v>3204</v>
      </c>
      <c r="E2142" s="249" t="s">
        <v>3045</v>
      </c>
      <c r="F2142">
        <v>2140</v>
      </c>
    </row>
    <row r="2143" spans="1:6" x14ac:dyDescent="0.25">
      <c r="A2143" t="s">
        <v>201</v>
      </c>
      <c r="B2143" s="248">
        <v>3557</v>
      </c>
      <c r="C2143" t="s">
        <v>5107</v>
      </c>
      <c r="D2143" t="s">
        <v>3053</v>
      </c>
      <c r="E2143" s="249" t="s">
        <v>3043</v>
      </c>
      <c r="F2143">
        <v>2141</v>
      </c>
    </row>
    <row r="2144" spans="1:6" x14ac:dyDescent="0.25">
      <c r="A2144" t="s">
        <v>2434</v>
      </c>
      <c r="B2144" s="248">
        <v>8102</v>
      </c>
      <c r="C2144" t="s">
        <v>5108</v>
      </c>
      <c r="D2144" t="s">
        <v>3241</v>
      </c>
      <c r="E2144" s="249" t="s">
        <v>3020</v>
      </c>
      <c r="F2144">
        <v>2142</v>
      </c>
    </row>
    <row r="2145" spans="1:6" x14ac:dyDescent="0.25">
      <c r="A2145" t="s">
        <v>2505</v>
      </c>
      <c r="B2145" s="248">
        <v>5212</v>
      </c>
      <c r="C2145" t="s">
        <v>5109</v>
      </c>
      <c r="D2145" t="s">
        <v>3817</v>
      </c>
      <c r="E2145" s="249" t="s">
        <v>3050</v>
      </c>
      <c r="F2145">
        <v>2143</v>
      </c>
    </row>
    <row r="2146" spans="1:6" x14ac:dyDescent="0.25">
      <c r="A2146" t="s">
        <v>1873</v>
      </c>
      <c r="B2146" s="248">
        <v>8030</v>
      </c>
      <c r="C2146" t="s">
        <v>5110</v>
      </c>
      <c r="D2146" t="s">
        <v>3053</v>
      </c>
      <c r="E2146" s="249" t="s">
        <v>3049</v>
      </c>
      <c r="F2146">
        <v>2144</v>
      </c>
    </row>
    <row r="2147" spans="1:6" x14ac:dyDescent="0.25">
      <c r="A2147" t="s">
        <v>1809</v>
      </c>
      <c r="B2147" s="248">
        <v>4094</v>
      </c>
      <c r="C2147" t="s">
        <v>5111</v>
      </c>
      <c r="D2147" t="s">
        <v>3053</v>
      </c>
      <c r="E2147" s="249" t="s">
        <v>3049</v>
      </c>
      <c r="F2147">
        <v>2145</v>
      </c>
    </row>
    <row r="2148" spans="1:6" x14ac:dyDescent="0.25">
      <c r="A2148" t="s">
        <v>1926</v>
      </c>
      <c r="B2148" s="248">
        <v>174648</v>
      </c>
      <c r="C2148" t="s">
        <v>5538</v>
      </c>
      <c r="D2148" t="s">
        <v>3053</v>
      </c>
      <c r="E2148" s="249" t="s">
        <v>3001</v>
      </c>
      <c r="F2148">
        <v>2146</v>
      </c>
    </row>
    <row r="2149" spans="1:6" x14ac:dyDescent="0.25">
      <c r="A2149" t="s">
        <v>734</v>
      </c>
      <c r="B2149" s="248">
        <v>286.5</v>
      </c>
      <c r="C2149" t="s">
        <v>5112</v>
      </c>
      <c r="D2149" t="s">
        <v>3053</v>
      </c>
      <c r="E2149" s="249" t="s">
        <v>3045</v>
      </c>
      <c r="F2149">
        <v>2147</v>
      </c>
    </row>
    <row r="2150" spans="1:6" x14ac:dyDescent="0.25">
      <c r="A2150" t="s">
        <v>1918</v>
      </c>
      <c r="B2150" s="248">
        <v>9210</v>
      </c>
      <c r="C2150" t="s">
        <v>5113</v>
      </c>
      <c r="D2150" t="s">
        <v>3053</v>
      </c>
      <c r="E2150" s="249" t="s">
        <v>3001</v>
      </c>
      <c r="F2150">
        <v>2148</v>
      </c>
    </row>
    <row r="2151" spans="1:6" x14ac:dyDescent="0.25">
      <c r="A2151" t="s">
        <v>276</v>
      </c>
      <c r="B2151" s="248">
        <v>21709</v>
      </c>
      <c r="C2151" t="s">
        <v>5114</v>
      </c>
      <c r="D2151" t="s">
        <v>3053</v>
      </c>
      <c r="E2151" s="249" t="s">
        <v>3043</v>
      </c>
      <c r="F2151">
        <v>2149</v>
      </c>
    </row>
    <row r="2152" spans="1:6" x14ac:dyDescent="0.25">
      <c r="A2152" t="s">
        <v>277</v>
      </c>
      <c r="B2152" s="248">
        <v>29523</v>
      </c>
      <c r="C2152" t="s">
        <v>5115</v>
      </c>
      <c r="D2152" t="s">
        <v>3053</v>
      </c>
      <c r="E2152" s="249" t="s">
        <v>3043</v>
      </c>
      <c r="F2152">
        <v>2150</v>
      </c>
    </row>
    <row r="2153" spans="1:6" x14ac:dyDescent="0.25">
      <c r="A2153" t="s">
        <v>2429</v>
      </c>
      <c r="B2153" s="248">
        <v>16352</v>
      </c>
      <c r="C2153" t="s">
        <v>5116</v>
      </c>
      <c r="D2153" t="s">
        <v>3241</v>
      </c>
      <c r="E2153" s="249" t="s">
        <v>3020</v>
      </c>
      <c r="F2153">
        <v>2151</v>
      </c>
    </row>
    <row r="2154" spans="1:6" x14ac:dyDescent="0.25">
      <c r="A2154" t="s">
        <v>2769</v>
      </c>
      <c r="B2154" s="248">
        <v>293</v>
      </c>
      <c r="C2154" t="s">
        <v>5117</v>
      </c>
      <c r="D2154" t="s">
        <v>4547</v>
      </c>
      <c r="E2154" s="249" t="s">
        <v>3036</v>
      </c>
      <c r="F2154">
        <v>2152</v>
      </c>
    </row>
    <row r="2155" spans="1:6" x14ac:dyDescent="0.25">
      <c r="A2155" t="s">
        <v>1210</v>
      </c>
      <c r="B2155" s="248">
        <v>2191</v>
      </c>
      <c r="C2155" t="s">
        <v>5118</v>
      </c>
      <c r="D2155" t="s">
        <v>3053</v>
      </c>
      <c r="E2155" s="249" t="s">
        <v>3046</v>
      </c>
      <c r="F2155">
        <v>2153</v>
      </c>
    </row>
    <row r="2156" spans="1:6" x14ac:dyDescent="0.25">
      <c r="A2156" t="s">
        <v>133</v>
      </c>
      <c r="B2156" s="248">
        <v>181</v>
      </c>
      <c r="C2156" t="s">
        <v>5119</v>
      </c>
      <c r="D2156" t="s">
        <v>3204</v>
      </c>
      <c r="E2156" s="249" t="s">
        <v>3043</v>
      </c>
      <c r="F2156">
        <v>2154</v>
      </c>
    </row>
    <row r="2157" spans="1:6" x14ac:dyDescent="0.25">
      <c r="A2157" t="s">
        <v>85</v>
      </c>
      <c r="B2157" s="248">
        <v>1804</v>
      </c>
      <c r="C2157" t="s">
        <v>5120</v>
      </c>
      <c r="D2157" t="s">
        <v>3053</v>
      </c>
      <c r="E2157" s="249" t="s">
        <v>3043</v>
      </c>
      <c r="F2157">
        <v>2155</v>
      </c>
    </row>
    <row r="2158" spans="1:6" x14ac:dyDescent="0.25">
      <c r="A2158" t="s">
        <v>1772</v>
      </c>
      <c r="B2158" s="248">
        <v>2791</v>
      </c>
      <c r="C2158" t="s">
        <v>5121</v>
      </c>
      <c r="D2158" t="s">
        <v>3053</v>
      </c>
      <c r="E2158" s="249" t="s">
        <v>3048</v>
      </c>
      <c r="F2158">
        <v>2156</v>
      </c>
    </row>
    <row r="2159" spans="1:6" x14ac:dyDescent="0.25">
      <c r="A2159" t="s">
        <v>820</v>
      </c>
      <c r="B2159" s="248">
        <v>3246</v>
      </c>
      <c r="C2159" t="s">
        <v>5122</v>
      </c>
      <c r="D2159" t="s">
        <v>3053</v>
      </c>
      <c r="E2159" s="249" t="s">
        <v>3045</v>
      </c>
      <c r="F2159">
        <v>2157</v>
      </c>
    </row>
    <row r="2160" spans="1:6" x14ac:dyDescent="0.25">
      <c r="A2160" t="s">
        <v>1035</v>
      </c>
      <c r="B2160" s="248">
        <v>4364</v>
      </c>
      <c r="C2160" t="s">
        <v>5123</v>
      </c>
      <c r="D2160" t="s">
        <v>3053</v>
      </c>
      <c r="E2160" s="249" t="s">
        <v>3045</v>
      </c>
      <c r="F2160">
        <v>2158</v>
      </c>
    </row>
    <row r="2161" spans="1:6" x14ac:dyDescent="0.25">
      <c r="A2161" t="s">
        <v>1710</v>
      </c>
      <c r="B2161" s="248">
        <v>6187</v>
      </c>
      <c r="C2161" t="s">
        <v>5124</v>
      </c>
      <c r="D2161" t="s">
        <v>3053</v>
      </c>
      <c r="E2161" s="249" t="s">
        <v>3048</v>
      </c>
      <c r="F2161">
        <v>2159</v>
      </c>
    </row>
    <row r="2162" spans="1:6" x14ac:dyDescent="0.25">
      <c r="A2162" t="s">
        <v>2324</v>
      </c>
      <c r="B2162" s="248">
        <v>208.5</v>
      </c>
      <c r="C2162" t="s">
        <v>5125</v>
      </c>
      <c r="D2162" t="s">
        <v>3241</v>
      </c>
      <c r="E2162" s="249" t="s">
        <v>3020</v>
      </c>
      <c r="F2162">
        <v>2160</v>
      </c>
    </row>
    <row r="2163" spans="1:6" x14ac:dyDescent="0.25">
      <c r="A2163" t="s">
        <v>2325</v>
      </c>
      <c r="B2163" s="248">
        <v>241</v>
      </c>
      <c r="C2163" t="s">
        <v>5126</v>
      </c>
      <c r="D2163" t="s">
        <v>3241</v>
      </c>
      <c r="E2163" s="249" t="s">
        <v>3020</v>
      </c>
      <c r="F2163">
        <v>2161</v>
      </c>
    </row>
    <row r="2164" spans="1:6" x14ac:dyDescent="0.25">
      <c r="A2164" t="s">
        <v>2326</v>
      </c>
      <c r="B2164" s="248">
        <v>278</v>
      </c>
      <c r="C2164" t="s">
        <v>5127</v>
      </c>
      <c r="D2164" t="s">
        <v>3241</v>
      </c>
      <c r="E2164" s="249" t="s">
        <v>3020</v>
      </c>
      <c r="F2164">
        <v>2162</v>
      </c>
    </row>
    <row r="2165" spans="1:6" x14ac:dyDescent="0.25">
      <c r="A2165" t="s">
        <v>2327</v>
      </c>
      <c r="B2165" s="248">
        <v>358</v>
      </c>
      <c r="C2165" t="s">
        <v>5128</v>
      </c>
      <c r="D2165" t="s">
        <v>3241</v>
      </c>
      <c r="E2165" s="249" t="s">
        <v>3020</v>
      </c>
      <c r="F2165">
        <v>2163</v>
      </c>
    </row>
    <row r="2166" spans="1:6" x14ac:dyDescent="0.25">
      <c r="A2166" t="s">
        <v>2328</v>
      </c>
      <c r="B2166" s="248">
        <v>541</v>
      </c>
      <c r="C2166" t="s">
        <v>5129</v>
      </c>
      <c r="D2166" t="s">
        <v>3241</v>
      </c>
      <c r="E2166" s="249" t="s">
        <v>3020</v>
      </c>
      <c r="F2166">
        <v>2164</v>
      </c>
    </row>
    <row r="2167" spans="1:6" x14ac:dyDescent="0.25">
      <c r="A2167" t="s">
        <v>2329</v>
      </c>
      <c r="B2167" s="248">
        <v>634.5</v>
      </c>
      <c r="C2167" t="s">
        <v>5130</v>
      </c>
      <c r="D2167" t="s">
        <v>3241</v>
      </c>
      <c r="E2167" s="249" t="s">
        <v>3020</v>
      </c>
      <c r="F2167">
        <v>2165</v>
      </c>
    </row>
    <row r="2168" spans="1:6" x14ac:dyDescent="0.25">
      <c r="A2168" t="s">
        <v>2330</v>
      </c>
      <c r="B2168" s="248">
        <v>1294</v>
      </c>
      <c r="C2168" t="s">
        <v>5131</v>
      </c>
      <c r="D2168" t="s">
        <v>3241</v>
      </c>
      <c r="E2168" s="249" t="s">
        <v>3020</v>
      </c>
      <c r="F2168">
        <v>2166</v>
      </c>
    </row>
    <row r="2169" spans="1:6" x14ac:dyDescent="0.25">
      <c r="A2169" t="s">
        <v>2331</v>
      </c>
      <c r="B2169" s="248">
        <v>2130</v>
      </c>
      <c r="C2169" t="s">
        <v>5132</v>
      </c>
      <c r="D2169" t="s">
        <v>3241</v>
      </c>
      <c r="E2169" s="249" t="s">
        <v>3020</v>
      </c>
      <c r="F2169">
        <v>2167</v>
      </c>
    </row>
    <row r="2170" spans="1:6" x14ac:dyDescent="0.25">
      <c r="A2170" t="s">
        <v>2332</v>
      </c>
      <c r="B2170" s="248">
        <v>2896</v>
      </c>
      <c r="C2170" t="s">
        <v>5133</v>
      </c>
      <c r="D2170" t="s">
        <v>3241</v>
      </c>
      <c r="E2170" s="249" t="s">
        <v>3020</v>
      </c>
      <c r="F2170">
        <v>2168</v>
      </c>
    </row>
    <row r="2171" spans="1:6" x14ac:dyDescent="0.25">
      <c r="A2171" t="s">
        <v>1623</v>
      </c>
      <c r="B2171" s="248">
        <v>537.5</v>
      </c>
      <c r="C2171" t="s">
        <v>5134</v>
      </c>
      <c r="D2171" t="s">
        <v>3053</v>
      </c>
      <c r="E2171" s="249" t="s">
        <v>3048</v>
      </c>
      <c r="F2171">
        <v>2169</v>
      </c>
    </row>
    <row r="2172" spans="1:6" x14ac:dyDescent="0.25">
      <c r="A2172" t="s">
        <v>910</v>
      </c>
      <c r="B2172" s="248">
        <v>1605</v>
      </c>
      <c r="C2172" t="s">
        <v>5135</v>
      </c>
      <c r="D2172" t="s">
        <v>3053</v>
      </c>
      <c r="E2172" s="249" t="s">
        <v>3045</v>
      </c>
      <c r="F2172">
        <v>2170</v>
      </c>
    </row>
    <row r="2173" spans="1:6" x14ac:dyDescent="0.25">
      <c r="A2173" t="s">
        <v>2221</v>
      </c>
      <c r="B2173" s="248">
        <v>1252</v>
      </c>
      <c r="C2173" t="s">
        <v>5136</v>
      </c>
      <c r="D2173" t="s">
        <v>3053</v>
      </c>
      <c r="E2173" s="249" t="s">
        <v>3016</v>
      </c>
      <c r="F2173">
        <v>2171</v>
      </c>
    </row>
    <row r="2174" spans="1:6" x14ac:dyDescent="0.25">
      <c r="A2174" t="s">
        <v>1671</v>
      </c>
      <c r="B2174" s="248">
        <v>20012</v>
      </c>
      <c r="C2174" t="s">
        <v>5137</v>
      </c>
      <c r="D2174" t="s">
        <v>3053</v>
      </c>
      <c r="E2174" s="249" t="s">
        <v>3048</v>
      </c>
      <c r="F2174">
        <v>2172</v>
      </c>
    </row>
    <row r="2175" spans="1:6" x14ac:dyDescent="0.25">
      <c r="A2175" t="s">
        <v>1552</v>
      </c>
      <c r="B2175" s="248">
        <v>3239</v>
      </c>
      <c r="C2175" t="s">
        <v>5138</v>
      </c>
      <c r="D2175" t="s">
        <v>3204</v>
      </c>
      <c r="E2175" s="249" t="s">
        <v>3047</v>
      </c>
      <c r="F2175">
        <v>2173</v>
      </c>
    </row>
    <row r="2176" spans="1:6" x14ac:dyDescent="0.25">
      <c r="A2176" t="s">
        <v>1479</v>
      </c>
      <c r="B2176" s="248">
        <v>6683</v>
      </c>
      <c r="C2176" t="s">
        <v>5139</v>
      </c>
      <c r="D2176" t="s">
        <v>3053</v>
      </c>
      <c r="E2176" s="249" t="s">
        <v>3047</v>
      </c>
      <c r="F2176">
        <v>2174</v>
      </c>
    </row>
    <row r="2177" spans="1:6" x14ac:dyDescent="0.25">
      <c r="A2177" t="s">
        <v>2701</v>
      </c>
      <c r="B2177" s="248">
        <v>656.5</v>
      </c>
      <c r="C2177" t="s">
        <v>5140</v>
      </c>
      <c r="D2177" t="s">
        <v>3056</v>
      </c>
      <c r="E2177" s="249" t="s">
        <v>3028</v>
      </c>
      <c r="F2177">
        <v>2175</v>
      </c>
    </row>
    <row r="2178" spans="1:6" x14ac:dyDescent="0.25">
      <c r="A2178" t="s">
        <v>2702</v>
      </c>
      <c r="B2178" s="248">
        <v>881</v>
      </c>
      <c r="C2178" t="s">
        <v>5141</v>
      </c>
      <c r="D2178" t="s">
        <v>3056</v>
      </c>
      <c r="E2178" s="249" t="s">
        <v>3028</v>
      </c>
      <c r="F2178">
        <v>2176</v>
      </c>
    </row>
    <row r="2179" spans="1:6" x14ac:dyDescent="0.25">
      <c r="A2179" t="s">
        <v>2703</v>
      </c>
      <c r="B2179" s="248">
        <v>1038</v>
      </c>
      <c r="C2179" t="s">
        <v>5142</v>
      </c>
      <c r="D2179" t="s">
        <v>3056</v>
      </c>
      <c r="E2179" s="249" t="s">
        <v>3028</v>
      </c>
      <c r="F2179">
        <v>2177</v>
      </c>
    </row>
    <row r="2180" spans="1:6" x14ac:dyDescent="0.25">
      <c r="A2180" t="s">
        <v>2704</v>
      </c>
      <c r="B2180" s="248">
        <v>1465</v>
      </c>
      <c r="C2180" t="s">
        <v>5143</v>
      </c>
      <c r="D2180" t="s">
        <v>3056</v>
      </c>
      <c r="E2180" s="249" t="s">
        <v>3028</v>
      </c>
      <c r="F2180">
        <v>2178</v>
      </c>
    </row>
    <row r="2181" spans="1:6" x14ac:dyDescent="0.25">
      <c r="A2181" t="s">
        <v>2705</v>
      </c>
      <c r="B2181" s="248">
        <v>2042</v>
      </c>
      <c r="C2181" t="s">
        <v>5144</v>
      </c>
      <c r="D2181" t="s">
        <v>3056</v>
      </c>
      <c r="E2181" s="249" t="s">
        <v>3028</v>
      </c>
      <c r="F2181">
        <v>2179</v>
      </c>
    </row>
    <row r="2182" spans="1:6" x14ac:dyDescent="0.25">
      <c r="A2182" t="s">
        <v>2706</v>
      </c>
      <c r="B2182" s="248">
        <v>2566</v>
      </c>
      <c r="C2182" t="s">
        <v>5145</v>
      </c>
      <c r="D2182" t="s">
        <v>3056</v>
      </c>
      <c r="E2182" s="249" t="s">
        <v>3028</v>
      </c>
      <c r="F2182">
        <v>2180</v>
      </c>
    </row>
    <row r="2183" spans="1:6" x14ac:dyDescent="0.25">
      <c r="A2183" t="s">
        <v>2707</v>
      </c>
      <c r="B2183" s="248">
        <v>4614</v>
      </c>
      <c r="C2183" t="s">
        <v>5146</v>
      </c>
      <c r="D2183" t="s">
        <v>3056</v>
      </c>
      <c r="E2183" s="249" t="s">
        <v>3028</v>
      </c>
      <c r="F2183">
        <v>2181</v>
      </c>
    </row>
    <row r="2184" spans="1:6" x14ac:dyDescent="0.25">
      <c r="A2184" t="s">
        <v>2708</v>
      </c>
      <c r="B2184" s="248">
        <v>5895</v>
      </c>
      <c r="C2184" t="s">
        <v>5147</v>
      </c>
      <c r="D2184" t="s">
        <v>3056</v>
      </c>
      <c r="E2184" s="249" t="s">
        <v>3028</v>
      </c>
      <c r="F2184">
        <v>2182</v>
      </c>
    </row>
    <row r="2185" spans="1:6" x14ac:dyDescent="0.25">
      <c r="A2185" t="s">
        <v>2709</v>
      </c>
      <c r="B2185" s="248">
        <v>9736</v>
      </c>
      <c r="C2185" t="s">
        <v>5148</v>
      </c>
      <c r="D2185" t="s">
        <v>3056</v>
      </c>
      <c r="E2185" s="249" t="s">
        <v>3028</v>
      </c>
      <c r="F2185">
        <v>2183</v>
      </c>
    </row>
    <row r="2186" spans="1:6" x14ac:dyDescent="0.25">
      <c r="A2186" t="s">
        <v>2595</v>
      </c>
      <c r="B2186" s="248">
        <v>393.5</v>
      </c>
      <c r="C2186" t="s">
        <v>5149</v>
      </c>
      <c r="D2186" t="s">
        <v>3056</v>
      </c>
      <c r="E2186" s="249" t="s">
        <v>3028</v>
      </c>
      <c r="F2186">
        <v>2184</v>
      </c>
    </row>
    <row r="2187" spans="1:6" x14ac:dyDescent="0.25">
      <c r="A2187" t="s">
        <v>2596</v>
      </c>
      <c r="B2187" s="248">
        <v>428.5</v>
      </c>
      <c r="C2187" t="s">
        <v>5150</v>
      </c>
      <c r="D2187" t="s">
        <v>3056</v>
      </c>
      <c r="E2187" s="249" t="s">
        <v>3028</v>
      </c>
      <c r="F2187">
        <v>2185</v>
      </c>
    </row>
    <row r="2188" spans="1:6" x14ac:dyDescent="0.25">
      <c r="A2188" t="s">
        <v>2597</v>
      </c>
      <c r="B2188" s="248">
        <v>456</v>
      </c>
      <c r="C2188" t="s">
        <v>5151</v>
      </c>
      <c r="D2188" t="s">
        <v>3056</v>
      </c>
      <c r="E2188" s="249" t="s">
        <v>3028</v>
      </c>
      <c r="F2188">
        <v>2186</v>
      </c>
    </row>
    <row r="2189" spans="1:6" x14ac:dyDescent="0.25">
      <c r="A2189" t="s">
        <v>2598</v>
      </c>
      <c r="B2189" s="248">
        <v>582</v>
      </c>
      <c r="C2189" t="s">
        <v>5152</v>
      </c>
      <c r="D2189" t="s">
        <v>3056</v>
      </c>
      <c r="E2189" s="249" t="s">
        <v>3028</v>
      </c>
      <c r="F2189">
        <v>2187</v>
      </c>
    </row>
    <row r="2190" spans="1:6" x14ac:dyDescent="0.25">
      <c r="A2190" t="s">
        <v>2599</v>
      </c>
      <c r="B2190" s="248">
        <v>772</v>
      </c>
      <c r="C2190" t="s">
        <v>5153</v>
      </c>
      <c r="D2190" t="s">
        <v>3056</v>
      </c>
      <c r="E2190" s="249" t="s">
        <v>3028</v>
      </c>
      <c r="F2190">
        <v>2188</v>
      </c>
    </row>
    <row r="2191" spans="1:6" x14ac:dyDescent="0.25">
      <c r="A2191" t="s">
        <v>2600</v>
      </c>
      <c r="B2191" s="248">
        <v>1024</v>
      </c>
      <c r="C2191" t="s">
        <v>5154</v>
      </c>
      <c r="D2191" t="s">
        <v>3056</v>
      </c>
      <c r="E2191" s="249" t="s">
        <v>3028</v>
      </c>
      <c r="F2191">
        <v>2189</v>
      </c>
    </row>
    <row r="2192" spans="1:6" x14ac:dyDescent="0.25">
      <c r="A2192" t="s">
        <v>2601</v>
      </c>
      <c r="B2192" s="248">
        <v>1733</v>
      </c>
      <c r="C2192" t="s">
        <v>5155</v>
      </c>
      <c r="D2192" t="s">
        <v>3056</v>
      </c>
      <c r="E2192" s="249" t="s">
        <v>3028</v>
      </c>
      <c r="F2192">
        <v>2190</v>
      </c>
    </row>
    <row r="2193" spans="1:6" x14ac:dyDescent="0.25">
      <c r="A2193" t="s">
        <v>2602</v>
      </c>
      <c r="B2193" s="248">
        <v>2998</v>
      </c>
      <c r="C2193" t="s">
        <v>5156</v>
      </c>
      <c r="D2193" t="s">
        <v>3056</v>
      </c>
      <c r="E2193" s="249" t="s">
        <v>3028</v>
      </c>
      <c r="F2193">
        <v>2191</v>
      </c>
    </row>
    <row r="2194" spans="1:6" x14ac:dyDescent="0.25">
      <c r="A2194" t="s">
        <v>2603</v>
      </c>
      <c r="B2194" s="248">
        <v>5718</v>
      </c>
      <c r="C2194" t="s">
        <v>5157</v>
      </c>
      <c r="D2194" t="s">
        <v>3056</v>
      </c>
      <c r="E2194" s="249" t="s">
        <v>3028</v>
      </c>
      <c r="F2194">
        <v>2192</v>
      </c>
    </row>
    <row r="2195" spans="1:6" x14ac:dyDescent="0.25">
      <c r="A2195" t="s">
        <v>2719</v>
      </c>
      <c r="B2195" s="248">
        <v>2001</v>
      </c>
      <c r="C2195" t="s">
        <v>5158</v>
      </c>
      <c r="D2195" t="s">
        <v>3056</v>
      </c>
      <c r="E2195" s="249" t="s">
        <v>3028</v>
      </c>
      <c r="F2195">
        <v>2193</v>
      </c>
    </row>
    <row r="2196" spans="1:6" x14ac:dyDescent="0.25">
      <c r="A2196" t="s">
        <v>1477</v>
      </c>
      <c r="B2196" s="248">
        <v>3747</v>
      </c>
      <c r="C2196" t="s">
        <v>5159</v>
      </c>
      <c r="D2196" t="s">
        <v>3053</v>
      </c>
      <c r="E2196" s="249" t="s">
        <v>3047</v>
      </c>
      <c r="F2196">
        <v>2194</v>
      </c>
    </row>
    <row r="2197" spans="1:6" x14ac:dyDescent="0.25">
      <c r="A2197" t="s">
        <v>1925</v>
      </c>
      <c r="B2197" s="248">
        <v>127569</v>
      </c>
      <c r="C2197" t="s">
        <v>5537</v>
      </c>
      <c r="D2197" t="s">
        <v>3053</v>
      </c>
      <c r="E2197" s="249" t="s">
        <v>3001</v>
      </c>
      <c r="F2197">
        <v>2195</v>
      </c>
    </row>
    <row r="2198" spans="1:6" x14ac:dyDescent="0.25">
      <c r="A2198" t="s">
        <v>1459</v>
      </c>
      <c r="B2198" s="248">
        <v>866.5</v>
      </c>
      <c r="C2198" t="s">
        <v>5160</v>
      </c>
      <c r="D2198" t="s">
        <v>3053</v>
      </c>
      <c r="E2198" s="249" t="s">
        <v>3047</v>
      </c>
      <c r="F2198">
        <v>2196</v>
      </c>
    </row>
    <row r="2199" spans="1:6" x14ac:dyDescent="0.25">
      <c r="A2199" t="s">
        <v>1824</v>
      </c>
      <c r="B2199" s="248">
        <v>541</v>
      </c>
      <c r="C2199" t="s">
        <v>5161</v>
      </c>
      <c r="D2199" t="s">
        <v>3204</v>
      </c>
      <c r="E2199" s="249" t="s">
        <v>3049</v>
      </c>
      <c r="F2199">
        <v>2197</v>
      </c>
    </row>
    <row r="2200" spans="1:6" x14ac:dyDescent="0.25">
      <c r="A2200" t="s">
        <v>1659</v>
      </c>
      <c r="B2200" s="248">
        <v>11644</v>
      </c>
      <c r="C2200" t="s">
        <v>5162</v>
      </c>
      <c r="D2200" t="s">
        <v>3053</v>
      </c>
      <c r="E2200" s="249" t="s">
        <v>3048</v>
      </c>
      <c r="F2200">
        <v>2198</v>
      </c>
    </row>
    <row r="2201" spans="1:6" x14ac:dyDescent="0.25">
      <c r="A2201" t="s">
        <v>1768</v>
      </c>
      <c r="B2201" s="248">
        <v>4734</v>
      </c>
      <c r="C2201" t="s">
        <v>5163</v>
      </c>
      <c r="D2201" t="s">
        <v>3204</v>
      </c>
      <c r="E2201" s="249" t="s">
        <v>3048</v>
      </c>
      <c r="F2201">
        <v>2199</v>
      </c>
    </row>
    <row r="2202" spans="1:6" x14ac:dyDescent="0.25">
      <c r="A2202" t="s">
        <v>947</v>
      </c>
      <c r="B2202" s="248">
        <v>1747</v>
      </c>
      <c r="C2202" t="s">
        <v>5164</v>
      </c>
      <c r="D2202" t="s">
        <v>3053</v>
      </c>
      <c r="E2202" s="249" t="s">
        <v>3045</v>
      </c>
      <c r="F2202">
        <v>2200</v>
      </c>
    </row>
    <row r="2203" spans="1:6" x14ac:dyDescent="0.25">
      <c r="A2203" t="s">
        <v>1756</v>
      </c>
      <c r="B2203" s="248">
        <v>4734</v>
      </c>
      <c r="C2203" t="s">
        <v>5165</v>
      </c>
      <c r="D2203" t="s">
        <v>3204</v>
      </c>
      <c r="E2203" s="249" t="s">
        <v>3048</v>
      </c>
      <c r="F2203">
        <v>2201</v>
      </c>
    </row>
    <row r="2204" spans="1:6" x14ac:dyDescent="0.25">
      <c r="A2204" t="s">
        <v>464</v>
      </c>
      <c r="B2204" s="248">
        <v>316</v>
      </c>
      <c r="C2204" t="s">
        <v>5166</v>
      </c>
      <c r="D2204" t="s">
        <v>3204</v>
      </c>
      <c r="E2204" s="249" t="s">
        <v>3043</v>
      </c>
      <c r="F2204">
        <v>2202</v>
      </c>
    </row>
    <row r="2205" spans="1:6" x14ac:dyDescent="0.25">
      <c r="A2205" t="s">
        <v>1907</v>
      </c>
      <c r="B2205" s="248">
        <v>16409</v>
      </c>
      <c r="C2205" t="s">
        <v>5167</v>
      </c>
      <c r="D2205" t="s">
        <v>3053</v>
      </c>
      <c r="E2205" s="249" t="s">
        <v>3001</v>
      </c>
      <c r="F2205">
        <v>2203</v>
      </c>
    </row>
    <row r="2206" spans="1:6" x14ac:dyDescent="0.25">
      <c r="A2206" t="s">
        <v>2254</v>
      </c>
      <c r="B2206" s="248">
        <v>942</v>
      </c>
      <c r="C2206" t="s">
        <v>5168</v>
      </c>
      <c r="D2206" t="s">
        <v>3246</v>
      </c>
      <c r="E2206" s="249" t="s">
        <v>3018</v>
      </c>
      <c r="F2206">
        <v>2204</v>
      </c>
    </row>
    <row r="2207" spans="1:6" x14ac:dyDescent="0.25">
      <c r="A2207" t="s">
        <v>2255</v>
      </c>
      <c r="B2207" s="248">
        <v>1073</v>
      </c>
      <c r="C2207" t="s">
        <v>5169</v>
      </c>
      <c r="D2207" t="s">
        <v>3246</v>
      </c>
      <c r="E2207" s="249" t="s">
        <v>3018</v>
      </c>
      <c r="F2207">
        <v>2205</v>
      </c>
    </row>
    <row r="2208" spans="1:6" x14ac:dyDescent="0.25">
      <c r="A2208" t="s">
        <v>2256</v>
      </c>
      <c r="B2208" s="248">
        <v>1147</v>
      </c>
      <c r="C2208" t="s">
        <v>5170</v>
      </c>
      <c r="D2208" t="s">
        <v>3246</v>
      </c>
      <c r="E2208" s="249" t="s">
        <v>3018</v>
      </c>
      <c r="F2208">
        <v>2206</v>
      </c>
    </row>
    <row r="2209" spans="1:6" x14ac:dyDescent="0.25">
      <c r="A2209" t="s">
        <v>2257</v>
      </c>
      <c r="B2209" s="248">
        <v>2325</v>
      </c>
      <c r="C2209" t="s">
        <v>5171</v>
      </c>
      <c r="D2209" t="s">
        <v>3246</v>
      </c>
      <c r="E2209" s="249" t="s">
        <v>3018</v>
      </c>
      <c r="F2209">
        <v>2207</v>
      </c>
    </row>
    <row r="2210" spans="1:6" x14ac:dyDescent="0.25">
      <c r="A2210" t="s">
        <v>2258</v>
      </c>
      <c r="B2210" s="248">
        <v>2727</v>
      </c>
      <c r="C2210" t="s">
        <v>5172</v>
      </c>
      <c r="D2210" t="s">
        <v>3246</v>
      </c>
      <c r="E2210" s="249" t="s">
        <v>3018</v>
      </c>
      <c r="F2210">
        <v>2208</v>
      </c>
    </row>
    <row r="2211" spans="1:6" x14ac:dyDescent="0.25">
      <c r="A2211" t="s">
        <v>2259</v>
      </c>
      <c r="B2211" s="248">
        <v>3740</v>
      </c>
      <c r="C2211" t="s">
        <v>5173</v>
      </c>
      <c r="D2211" t="s">
        <v>3246</v>
      </c>
      <c r="E2211" s="249" t="s">
        <v>3018</v>
      </c>
      <c r="F2211">
        <v>2209</v>
      </c>
    </row>
    <row r="2212" spans="1:6" x14ac:dyDescent="0.25">
      <c r="A2212" t="s">
        <v>2260</v>
      </c>
      <c r="B2212" s="248">
        <v>5072</v>
      </c>
      <c r="C2212" t="s">
        <v>5174</v>
      </c>
      <c r="D2212" t="s">
        <v>3246</v>
      </c>
      <c r="E2212" s="249" t="s">
        <v>3018</v>
      </c>
      <c r="F2212">
        <v>2210</v>
      </c>
    </row>
    <row r="2213" spans="1:6" x14ac:dyDescent="0.25">
      <c r="A2213" t="s">
        <v>2261</v>
      </c>
      <c r="B2213" s="248">
        <v>7840</v>
      </c>
      <c r="C2213" t="s">
        <v>5175</v>
      </c>
      <c r="D2213" t="s">
        <v>3246</v>
      </c>
      <c r="E2213" s="249" t="s">
        <v>3018</v>
      </c>
      <c r="F2213">
        <v>2211</v>
      </c>
    </row>
    <row r="2214" spans="1:6" x14ac:dyDescent="0.25">
      <c r="A2214" t="s">
        <v>2262</v>
      </c>
      <c r="B2214" s="248">
        <v>12890</v>
      </c>
      <c r="C2214" t="s">
        <v>5176</v>
      </c>
      <c r="D2214" t="s">
        <v>3246</v>
      </c>
      <c r="E2214" s="249" t="s">
        <v>3018</v>
      </c>
      <c r="F2214">
        <v>2212</v>
      </c>
    </row>
    <row r="2215" spans="1:6" x14ac:dyDescent="0.25">
      <c r="A2215" t="s">
        <v>2263</v>
      </c>
      <c r="B2215" s="248">
        <v>15206</v>
      </c>
      <c r="C2215" t="s">
        <v>5177</v>
      </c>
      <c r="D2215" t="s">
        <v>3246</v>
      </c>
      <c r="E2215" s="249" t="s">
        <v>3018</v>
      </c>
      <c r="F2215">
        <v>2213</v>
      </c>
    </row>
    <row r="2216" spans="1:6" x14ac:dyDescent="0.25">
      <c r="A2216" t="s">
        <v>1165</v>
      </c>
      <c r="B2216" s="248">
        <v>2701</v>
      </c>
      <c r="C2216" t="s">
        <v>5178</v>
      </c>
      <c r="D2216" t="s">
        <v>3053</v>
      </c>
      <c r="E2216" s="249" t="s">
        <v>3046</v>
      </c>
      <c r="F2216">
        <v>2214</v>
      </c>
    </row>
    <row r="2217" spans="1:6" x14ac:dyDescent="0.25">
      <c r="A2217" t="s">
        <v>5908</v>
      </c>
      <c r="B2217" s="248">
        <v>2702</v>
      </c>
      <c r="C2217" t="s">
        <v>5961</v>
      </c>
      <c r="D2217" t="s">
        <v>3053</v>
      </c>
      <c r="E2217" s="249" t="s">
        <v>3044</v>
      </c>
      <c r="F2217">
        <v>2215</v>
      </c>
    </row>
    <row r="2218" spans="1:6" x14ac:dyDescent="0.25">
      <c r="A2218" t="s">
        <v>1825</v>
      </c>
      <c r="B2218" s="248">
        <v>996.5</v>
      </c>
      <c r="C2218" t="s">
        <v>5179</v>
      </c>
      <c r="D2218" t="s">
        <v>3204</v>
      </c>
      <c r="E2218" s="249" t="s">
        <v>3049</v>
      </c>
      <c r="F2218">
        <v>2216</v>
      </c>
    </row>
    <row r="2219" spans="1:6" x14ac:dyDescent="0.25">
      <c r="A2219" t="s">
        <v>1474</v>
      </c>
      <c r="B2219" s="248">
        <v>2317</v>
      </c>
      <c r="C2219" t="s">
        <v>5180</v>
      </c>
      <c r="D2219" t="s">
        <v>3053</v>
      </c>
      <c r="E2219" s="249" t="s">
        <v>3047</v>
      </c>
      <c r="F2219">
        <v>2217</v>
      </c>
    </row>
    <row r="2220" spans="1:6" x14ac:dyDescent="0.25">
      <c r="A2220" t="s">
        <v>518</v>
      </c>
      <c r="B2220" s="248">
        <v>60</v>
      </c>
      <c r="C2220" t="s">
        <v>5181</v>
      </c>
      <c r="D2220" t="s">
        <v>3053</v>
      </c>
      <c r="E2220" s="249" t="s">
        <v>3044</v>
      </c>
      <c r="F2220">
        <v>2218</v>
      </c>
    </row>
    <row r="2221" spans="1:6" x14ac:dyDescent="0.25">
      <c r="A2221" t="s">
        <v>519</v>
      </c>
      <c r="B2221" s="248">
        <v>60</v>
      </c>
      <c r="C2221" t="s">
        <v>5182</v>
      </c>
      <c r="D2221" t="s">
        <v>3053</v>
      </c>
      <c r="E2221" s="249" t="s">
        <v>3044</v>
      </c>
      <c r="F2221">
        <v>2219</v>
      </c>
    </row>
    <row r="2222" spans="1:6" x14ac:dyDescent="0.25">
      <c r="A2222" t="s">
        <v>520</v>
      </c>
      <c r="B2222" s="248">
        <v>60</v>
      </c>
      <c r="C2222" t="s">
        <v>5183</v>
      </c>
      <c r="D2222" t="s">
        <v>3053</v>
      </c>
      <c r="E2222" s="249" t="s">
        <v>3044</v>
      </c>
      <c r="F2222">
        <v>2220</v>
      </c>
    </row>
    <row r="2223" spans="1:6" x14ac:dyDescent="0.25">
      <c r="A2223" t="s">
        <v>521</v>
      </c>
      <c r="B2223" s="248">
        <v>73</v>
      </c>
      <c r="C2223" t="s">
        <v>5184</v>
      </c>
      <c r="D2223" t="s">
        <v>3053</v>
      </c>
      <c r="E2223" s="249" t="s">
        <v>3044</v>
      </c>
      <c r="F2223">
        <v>2221</v>
      </c>
    </row>
    <row r="2224" spans="1:6" x14ac:dyDescent="0.25">
      <c r="A2224" t="s">
        <v>522</v>
      </c>
      <c r="B2224" s="248">
        <v>108.5</v>
      </c>
      <c r="C2224" t="s">
        <v>5185</v>
      </c>
      <c r="D2224" t="s">
        <v>3053</v>
      </c>
      <c r="E2224" s="249" t="s">
        <v>3044</v>
      </c>
      <c r="F2224">
        <v>2222</v>
      </c>
    </row>
    <row r="2225" spans="1:6" x14ac:dyDescent="0.25">
      <c r="A2225" t="s">
        <v>523</v>
      </c>
      <c r="B2225" s="248">
        <v>171.5</v>
      </c>
      <c r="C2225" t="s">
        <v>5186</v>
      </c>
      <c r="D2225" t="s">
        <v>3053</v>
      </c>
      <c r="E2225" s="249" t="s">
        <v>3044</v>
      </c>
      <c r="F2225">
        <v>2223</v>
      </c>
    </row>
    <row r="2226" spans="1:6" x14ac:dyDescent="0.25">
      <c r="A2226" t="s">
        <v>524</v>
      </c>
      <c r="B2226" s="248">
        <v>232</v>
      </c>
      <c r="C2226" t="s">
        <v>5187</v>
      </c>
      <c r="D2226" t="s">
        <v>3053</v>
      </c>
      <c r="E2226" s="249" t="s">
        <v>3044</v>
      </c>
      <c r="F2226">
        <v>2224</v>
      </c>
    </row>
    <row r="2227" spans="1:6" x14ac:dyDescent="0.25">
      <c r="A2227" t="s">
        <v>525</v>
      </c>
      <c r="B2227" s="248">
        <v>302.5</v>
      </c>
      <c r="C2227" t="s">
        <v>5188</v>
      </c>
      <c r="D2227" t="s">
        <v>3053</v>
      </c>
      <c r="E2227" s="249" t="s">
        <v>3044</v>
      </c>
      <c r="F2227">
        <v>2225</v>
      </c>
    </row>
    <row r="2228" spans="1:6" x14ac:dyDescent="0.25">
      <c r="A2228" t="s">
        <v>526</v>
      </c>
      <c r="B2228" s="248">
        <v>909</v>
      </c>
      <c r="C2228" t="s">
        <v>5189</v>
      </c>
      <c r="D2228" t="s">
        <v>3053</v>
      </c>
      <c r="E2228" s="249" t="s">
        <v>3044</v>
      </c>
      <c r="F2228">
        <v>2226</v>
      </c>
    </row>
    <row r="2229" spans="1:6" x14ac:dyDescent="0.25">
      <c r="A2229" t="s">
        <v>527</v>
      </c>
      <c r="B2229" s="248">
        <v>954</v>
      </c>
      <c r="C2229" t="s">
        <v>5190</v>
      </c>
      <c r="D2229" t="s">
        <v>3053</v>
      </c>
      <c r="E2229" s="249" t="s">
        <v>3044</v>
      </c>
      <c r="F2229">
        <v>2227</v>
      </c>
    </row>
    <row r="2230" spans="1:6" x14ac:dyDescent="0.25">
      <c r="A2230" t="s">
        <v>599</v>
      </c>
      <c r="B2230" s="248">
        <v>78.75</v>
      </c>
      <c r="C2230" t="s">
        <v>5191</v>
      </c>
      <c r="D2230" t="s">
        <v>3053</v>
      </c>
      <c r="E2230" s="249" t="s">
        <v>3044</v>
      </c>
      <c r="F2230">
        <v>2228</v>
      </c>
    </row>
    <row r="2231" spans="1:6" x14ac:dyDescent="0.25">
      <c r="A2231" t="s">
        <v>600</v>
      </c>
      <c r="B2231" s="248">
        <v>114.5</v>
      </c>
      <c r="C2231" t="s">
        <v>5192</v>
      </c>
      <c r="D2231" t="s">
        <v>3053</v>
      </c>
      <c r="E2231" s="249" t="s">
        <v>3044</v>
      </c>
      <c r="F2231">
        <v>2229</v>
      </c>
    </row>
    <row r="2232" spans="1:6" x14ac:dyDescent="0.25">
      <c r="A2232" t="s">
        <v>601</v>
      </c>
      <c r="B2232" s="248">
        <v>158.5</v>
      </c>
      <c r="C2232" t="s">
        <v>5193</v>
      </c>
      <c r="D2232" t="s">
        <v>3053</v>
      </c>
      <c r="E2232" s="249" t="s">
        <v>3044</v>
      </c>
      <c r="F2232">
        <v>2230</v>
      </c>
    </row>
    <row r="2233" spans="1:6" x14ac:dyDescent="0.25">
      <c r="A2233" t="s">
        <v>602</v>
      </c>
      <c r="B2233" s="248">
        <v>242.5</v>
      </c>
      <c r="C2233" t="s">
        <v>5194</v>
      </c>
      <c r="D2233" t="s">
        <v>3053</v>
      </c>
      <c r="E2233" s="249" t="s">
        <v>3044</v>
      </c>
      <c r="F2233">
        <v>2231</v>
      </c>
    </row>
    <row r="2234" spans="1:6" x14ac:dyDescent="0.25">
      <c r="A2234" t="s">
        <v>603</v>
      </c>
      <c r="B2234" s="248">
        <v>313.5</v>
      </c>
      <c r="C2234" t="s">
        <v>5195</v>
      </c>
      <c r="D2234" t="s">
        <v>3053</v>
      </c>
      <c r="E2234" s="249" t="s">
        <v>3044</v>
      </c>
      <c r="F2234">
        <v>2232</v>
      </c>
    </row>
    <row r="2235" spans="1:6" x14ac:dyDescent="0.25">
      <c r="A2235" t="s">
        <v>604</v>
      </c>
      <c r="B2235" s="248">
        <v>499.5</v>
      </c>
      <c r="C2235" t="s">
        <v>5196</v>
      </c>
      <c r="D2235" t="s">
        <v>3053</v>
      </c>
      <c r="E2235" s="249" t="s">
        <v>3044</v>
      </c>
      <c r="F2235">
        <v>2233</v>
      </c>
    </row>
    <row r="2236" spans="1:6" x14ac:dyDescent="0.25">
      <c r="A2236" t="s">
        <v>591</v>
      </c>
      <c r="B2236" s="248">
        <v>1144</v>
      </c>
      <c r="C2236" t="s">
        <v>5197</v>
      </c>
      <c r="D2236" t="s">
        <v>3053</v>
      </c>
      <c r="E2236" s="249" t="s">
        <v>3044</v>
      </c>
      <c r="F2236">
        <v>2234</v>
      </c>
    </row>
    <row r="2237" spans="1:6" x14ac:dyDescent="0.25">
      <c r="A2237" t="s">
        <v>605</v>
      </c>
      <c r="B2237" s="248">
        <v>2014</v>
      </c>
      <c r="C2237" t="s">
        <v>5198</v>
      </c>
      <c r="D2237" t="s">
        <v>3053</v>
      </c>
      <c r="E2237" s="249" t="s">
        <v>3044</v>
      </c>
      <c r="F2237">
        <v>2235</v>
      </c>
    </row>
    <row r="2238" spans="1:6" x14ac:dyDescent="0.25">
      <c r="A2238" t="s">
        <v>638</v>
      </c>
      <c r="B2238" s="248">
        <v>60</v>
      </c>
      <c r="C2238" t="s">
        <v>5199</v>
      </c>
      <c r="D2238" t="s">
        <v>3053</v>
      </c>
      <c r="E2238" s="249" t="s">
        <v>3044</v>
      </c>
      <c r="F2238">
        <v>2236</v>
      </c>
    </row>
    <row r="2239" spans="1:6" x14ac:dyDescent="0.25">
      <c r="A2239" t="s">
        <v>639</v>
      </c>
      <c r="B2239" s="248">
        <v>73</v>
      </c>
      <c r="C2239" t="s">
        <v>5200</v>
      </c>
      <c r="D2239" t="s">
        <v>3053</v>
      </c>
      <c r="E2239" s="249" t="s">
        <v>3044</v>
      </c>
      <c r="F2239">
        <v>2237</v>
      </c>
    </row>
    <row r="2240" spans="1:6" x14ac:dyDescent="0.25">
      <c r="A2240" t="s">
        <v>640</v>
      </c>
      <c r="B2240" s="248">
        <v>108.5</v>
      </c>
      <c r="C2240" t="s">
        <v>5201</v>
      </c>
      <c r="D2240" t="s">
        <v>3053</v>
      </c>
      <c r="E2240" s="249" t="s">
        <v>3044</v>
      </c>
      <c r="F2240">
        <v>2238</v>
      </c>
    </row>
    <row r="2241" spans="1:6" x14ac:dyDescent="0.25">
      <c r="A2241" t="s">
        <v>641</v>
      </c>
      <c r="B2241" s="248">
        <v>171.5</v>
      </c>
      <c r="C2241" t="s">
        <v>5202</v>
      </c>
      <c r="D2241" t="s">
        <v>3053</v>
      </c>
      <c r="E2241" s="249" t="s">
        <v>3044</v>
      </c>
      <c r="F2241">
        <v>2239</v>
      </c>
    </row>
    <row r="2242" spans="1:6" x14ac:dyDescent="0.25">
      <c r="A2242" t="s">
        <v>642</v>
      </c>
      <c r="B2242" s="248">
        <v>232</v>
      </c>
      <c r="C2242" t="s">
        <v>5203</v>
      </c>
      <c r="D2242" t="s">
        <v>3053</v>
      </c>
      <c r="E2242" s="249" t="s">
        <v>3044</v>
      </c>
      <c r="F2242">
        <v>2240</v>
      </c>
    </row>
    <row r="2243" spans="1:6" x14ac:dyDescent="0.25">
      <c r="A2243" t="s">
        <v>643</v>
      </c>
      <c r="B2243" s="248">
        <v>302.5</v>
      </c>
      <c r="C2243" t="s">
        <v>5204</v>
      </c>
      <c r="D2243" t="s">
        <v>3053</v>
      </c>
      <c r="E2243" s="249" t="s">
        <v>3044</v>
      </c>
      <c r="F2243">
        <v>2241</v>
      </c>
    </row>
    <row r="2244" spans="1:6" x14ac:dyDescent="0.25">
      <c r="A2244" t="s">
        <v>644</v>
      </c>
      <c r="B2244" s="248">
        <v>909</v>
      </c>
      <c r="C2244" t="s">
        <v>5205</v>
      </c>
      <c r="D2244" t="s">
        <v>3053</v>
      </c>
      <c r="E2244" s="249" t="s">
        <v>3044</v>
      </c>
      <c r="F2244">
        <v>2242</v>
      </c>
    </row>
    <row r="2245" spans="1:6" x14ac:dyDescent="0.25">
      <c r="A2245" t="s">
        <v>645</v>
      </c>
      <c r="B2245" s="248">
        <v>954</v>
      </c>
      <c r="C2245" t="s">
        <v>5206</v>
      </c>
      <c r="D2245" t="s">
        <v>3053</v>
      </c>
      <c r="E2245" s="249" t="s">
        <v>3044</v>
      </c>
      <c r="F2245">
        <v>2243</v>
      </c>
    </row>
    <row r="2246" spans="1:6" x14ac:dyDescent="0.25">
      <c r="A2246" t="s">
        <v>1406</v>
      </c>
      <c r="B2246" s="248">
        <v>4293</v>
      </c>
      <c r="C2246" t="s">
        <v>5207</v>
      </c>
      <c r="D2246" t="s">
        <v>3053</v>
      </c>
      <c r="E2246" s="249" t="s">
        <v>3047</v>
      </c>
      <c r="F2246">
        <v>2244</v>
      </c>
    </row>
    <row r="2247" spans="1:6" x14ac:dyDescent="0.25">
      <c r="A2247" t="s">
        <v>5820</v>
      </c>
      <c r="B2247" s="248">
        <v>3018</v>
      </c>
      <c r="C2247" t="s">
        <v>5965</v>
      </c>
      <c r="D2247" t="s">
        <v>3053</v>
      </c>
      <c r="E2247" s="249" t="s">
        <v>3046</v>
      </c>
      <c r="F2247">
        <v>2245</v>
      </c>
    </row>
    <row r="2248" spans="1:6" x14ac:dyDescent="0.25">
      <c r="A2248" t="s">
        <v>227</v>
      </c>
      <c r="B2248" s="248">
        <v>502</v>
      </c>
      <c r="C2248" t="s">
        <v>5208</v>
      </c>
      <c r="D2248" t="s">
        <v>3053</v>
      </c>
      <c r="E2248" s="249" t="s">
        <v>3043</v>
      </c>
      <c r="F2248">
        <v>2246</v>
      </c>
    </row>
    <row r="2249" spans="1:6" x14ac:dyDescent="0.25">
      <c r="A2249" t="s">
        <v>1206</v>
      </c>
      <c r="B2249" s="248">
        <v>1905</v>
      </c>
      <c r="C2249" t="s">
        <v>5209</v>
      </c>
      <c r="D2249" t="s">
        <v>3053</v>
      </c>
      <c r="E2249" s="249" t="s">
        <v>3046</v>
      </c>
      <c r="F2249">
        <v>2247</v>
      </c>
    </row>
    <row r="2250" spans="1:6" x14ac:dyDescent="0.25">
      <c r="A2250" t="s">
        <v>1253</v>
      </c>
      <c r="B2250" s="248">
        <v>17553</v>
      </c>
      <c r="C2250" t="s">
        <v>5210</v>
      </c>
      <c r="D2250" t="s">
        <v>3053</v>
      </c>
      <c r="E2250" s="249" t="s">
        <v>3046</v>
      </c>
      <c r="F2250">
        <v>2248</v>
      </c>
    </row>
    <row r="2251" spans="1:6" x14ac:dyDescent="0.25">
      <c r="A2251" t="s">
        <v>687</v>
      </c>
      <c r="B2251" s="248">
        <v>6.5</v>
      </c>
      <c r="C2251" t="s">
        <v>5211</v>
      </c>
      <c r="D2251" t="s">
        <v>3204</v>
      </c>
      <c r="E2251" s="249" t="s">
        <v>3045</v>
      </c>
      <c r="F2251">
        <v>2249</v>
      </c>
    </row>
    <row r="2252" spans="1:6" x14ac:dyDescent="0.25">
      <c r="A2252" t="s">
        <v>688</v>
      </c>
      <c r="B2252" s="248">
        <v>7</v>
      </c>
      <c r="C2252" t="s">
        <v>5212</v>
      </c>
      <c r="D2252" t="s">
        <v>3204</v>
      </c>
      <c r="E2252" s="249" t="s">
        <v>3045</v>
      </c>
      <c r="F2252">
        <v>2250</v>
      </c>
    </row>
    <row r="2253" spans="1:6" x14ac:dyDescent="0.25">
      <c r="A2253" t="s">
        <v>826</v>
      </c>
      <c r="B2253" s="248">
        <v>65.75</v>
      </c>
      <c r="C2253" t="s">
        <v>5213</v>
      </c>
      <c r="D2253" t="s">
        <v>3204</v>
      </c>
      <c r="E2253" s="249" t="s">
        <v>3045</v>
      </c>
      <c r="F2253">
        <v>2251</v>
      </c>
    </row>
    <row r="2254" spans="1:6" x14ac:dyDescent="0.25">
      <c r="A2254" t="s">
        <v>2542</v>
      </c>
      <c r="B2254" s="248">
        <v>23777</v>
      </c>
      <c r="C2254" t="s">
        <v>5214</v>
      </c>
      <c r="D2254" t="s">
        <v>3817</v>
      </c>
      <c r="E2254" s="249" t="s">
        <v>3050</v>
      </c>
      <c r="F2254">
        <v>2252</v>
      </c>
    </row>
    <row r="2255" spans="1:6" x14ac:dyDescent="0.25">
      <c r="A2255" t="s">
        <v>5902</v>
      </c>
      <c r="B2255" s="248">
        <v>87.75</v>
      </c>
      <c r="C2255" t="s">
        <v>5925</v>
      </c>
      <c r="D2255" t="s">
        <v>3053</v>
      </c>
      <c r="E2255" s="249" t="s">
        <v>3044</v>
      </c>
      <c r="F2255">
        <v>2253</v>
      </c>
    </row>
    <row r="2256" spans="1:6" x14ac:dyDescent="0.25">
      <c r="A2256" t="s">
        <v>5903</v>
      </c>
      <c r="B2256" s="248">
        <v>108</v>
      </c>
      <c r="C2256" t="s">
        <v>5927</v>
      </c>
      <c r="D2256" t="s">
        <v>3053</v>
      </c>
      <c r="E2256" s="249" t="s">
        <v>3044</v>
      </c>
      <c r="F2256">
        <v>2254</v>
      </c>
    </row>
    <row r="2257" spans="1:6" x14ac:dyDescent="0.25">
      <c r="A2257" t="s">
        <v>5904</v>
      </c>
      <c r="B2257" s="248">
        <v>159</v>
      </c>
      <c r="C2257" t="s">
        <v>5928</v>
      </c>
      <c r="D2257" t="s">
        <v>3053</v>
      </c>
      <c r="E2257" s="249" t="s">
        <v>3044</v>
      </c>
      <c r="F2257">
        <v>2255</v>
      </c>
    </row>
    <row r="2258" spans="1:6" x14ac:dyDescent="0.25">
      <c r="A2258" t="s">
        <v>499</v>
      </c>
      <c r="B2258" s="248">
        <v>252</v>
      </c>
      <c r="C2258" t="s">
        <v>5215</v>
      </c>
      <c r="D2258" t="s">
        <v>3053</v>
      </c>
      <c r="E2258" s="249" t="s">
        <v>3044</v>
      </c>
      <c r="F2258">
        <v>2256</v>
      </c>
    </row>
    <row r="2259" spans="1:6" x14ac:dyDescent="0.25">
      <c r="A2259" t="s">
        <v>5905</v>
      </c>
      <c r="B2259" s="248">
        <v>339.5</v>
      </c>
      <c r="C2259" t="s">
        <v>5931</v>
      </c>
      <c r="D2259" t="s">
        <v>3053</v>
      </c>
      <c r="E2259" s="249" t="s">
        <v>3044</v>
      </c>
      <c r="F2259">
        <v>2257</v>
      </c>
    </row>
    <row r="2260" spans="1:6" x14ac:dyDescent="0.25">
      <c r="A2260" t="s">
        <v>5906</v>
      </c>
      <c r="B2260" s="248">
        <v>444</v>
      </c>
      <c r="C2260" t="s">
        <v>5934</v>
      </c>
      <c r="D2260" t="s">
        <v>3053</v>
      </c>
      <c r="E2260" s="249" t="s">
        <v>3044</v>
      </c>
      <c r="F2260">
        <v>2258</v>
      </c>
    </row>
    <row r="2261" spans="1:6" x14ac:dyDescent="0.25">
      <c r="A2261" t="s">
        <v>5907</v>
      </c>
      <c r="B2261" s="248">
        <v>1338</v>
      </c>
      <c r="C2261" t="s">
        <v>5942</v>
      </c>
      <c r="D2261" t="s">
        <v>3053</v>
      </c>
      <c r="E2261" s="249" t="s">
        <v>3044</v>
      </c>
      <c r="F2261">
        <v>2259</v>
      </c>
    </row>
    <row r="2262" spans="1:6" x14ac:dyDescent="0.25">
      <c r="A2262" t="s">
        <v>630</v>
      </c>
      <c r="B2262" s="248">
        <v>1338</v>
      </c>
      <c r="C2262" t="s">
        <v>5216</v>
      </c>
      <c r="D2262" t="s">
        <v>3053</v>
      </c>
      <c r="E2262" s="249" t="s">
        <v>3044</v>
      </c>
      <c r="F2262">
        <v>2260</v>
      </c>
    </row>
    <row r="2263" spans="1:6" x14ac:dyDescent="0.25">
      <c r="A2263" t="s">
        <v>2357</v>
      </c>
      <c r="B2263" s="248">
        <v>28151</v>
      </c>
      <c r="C2263" t="s">
        <v>5217</v>
      </c>
      <c r="D2263" t="s">
        <v>3241</v>
      </c>
      <c r="E2263" s="249" t="s">
        <v>3020</v>
      </c>
      <c r="F2263">
        <v>2261</v>
      </c>
    </row>
    <row r="2264" spans="1:6" x14ac:dyDescent="0.25">
      <c r="A2264" t="s">
        <v>2356</v>
      </c>
      <c r="B2264" s="248">
        <v>19550</v>
      </c>
      <c r="C2264" t="s">
        <v>5218</v>
      </c>
      <c r="D2264" t="s">
        <v>3241</v>
      </c>
      <c r="E2264" s="249" t="s">
        <v>3020</v>
      </c>
      <c r="F2264">
        <v>2262</v>
      </c>
    </row>
    <row r="2265" spans="1:6" x14ac:dyDescent="0.25">
      <c r="A2265" t="s">
        <v>633</v>
      </c>
      <c r="B2265" s="248">
        <v>2702</v>
      </c>
      <c r="C2265" t="s">
        <v>5219</v>
      </c>
      <c r="D2265" t="s">
        <v>3053</v>
      </c>
      <c r="E2265" s="249" t="s">
        <v>3044</v>
      </c>
      <c r="F2265">
        <v>2263</v>
      </c>
    </row>
    <row r="2266" spans="1:6" x14ac:dyDescent="0.25">
      <c r="A2266" t="s">
        <v>491</v>
      </c>
      <c r="B2266" s="248">
        <v>91.75</v>
      </c>
      <c r="C2266" t="s">
        <v>5220</v>
      </c>
      <c r="D2266" t="s">
        <v>3053</v>
      </c>
      <c r="E2266" s="249" t="s">
        <v>3044</v>
      </c>
      <c r="F2266">
        <v>2264</v>
      </c>
    </row>
    <row r="2267" spans="1:6" x14ac:dyDescent="0.25">
      <c r="A2267" t="s">
        <v>571</v>
      </c>
      <c r="B2267" s="248">
        <v>123</v>
      </c>
      <c r="C2267" t="s">
        <v>5221</v>
      </c>
      <c r="D2267" t="s">
        <v>3053</v>
      </c>
      <c r="E2267" s="249" t="s">
        <v>3044</v>
      </c>
      <c r="F2267">
        <v>2265</v>
      </c>
    </row>
    <row r="2268" spans="1:6" x14ac:dyDescent="0.25">
      <c r="A2268" t="s">
        <v>1400</v>
      </c>
      <c r="B2268" s="248">
        <v>788.5</v>
      </c>
      <c r="C2268" t="s">
        <v>5222</v>
      </c>
      <c r="D2268" t="s">
        <v>3053</v>
      </c>
      <c r="E2268" s="249" t="s">
        <v>3047</v>
      </c>
      <c r="F2268">
        <v>2266</v>
      </c>
    </row>
    <row r="2269" spans="1:6" x14ac:dyDescent="0.25">
      <c r="A2269" t="s">
        <v>764</v>
      </c>
      <c r="B2269" s="248">
        <v>679.5</v>
      </c>
      <c r="C2269" t="s">
        <v>5223</v>
      </c>
      <c r="D2269" t="s">
        <v>3053</v>
      </c>
      <c r="E2269" s="249" t="s">
        <v>3045</v>
      </c>
      <c r="F2269">
        <v>2267</v>
      </c>
    </row>
    <row r="2270" spans="1:6" x14ac:dyDescent="0.25">
      <c r="A2270" t="s">
        <v>2826</v>
      </c>
      <c r="B2270" s="248">
        <v>63.5</v>
      </c>
      <c r="C2270" t="s">
        <v>5224</v>
      </c>
      <c r="D2270" t="s">
        <v>3204</v>
      </c>
      <c r="E2270" s="249" t="s">
        <v>3043</v>
      </c>
      <c r="F2270">
        <v>2268</v>
      </c>
    </row>
    <row r="2271" spans="1:6" x14ac:dyDescent="0.25">
      <c r="A2271" t="s">
        <v>487</v>
      </c>
      <c r="B2271" s="248">
        <v>87.75</v>
      </c>
      <c r="C2271" t="s">
        <v>5225</v>
      </c>
      <c r="D2271" t="s">
        <v>3053</v>
      </c>
      <c r="E2271" s="249" t="s">
        <v>3044</v>
      </c>
      <c r="F2271">
        <v>2269</v>
      </c>
    </row>
    <row r="2272" spans="1:6" x14ac:dyDescent="0.25">
      <c r="A2272" t="s">
        <v>551</v>
      </c>
      <c r="B2272" s="248">
        <v>88.5</v>
      </c>
      <c r="C2272" t="s">
        <v>5226</v>
      </c>
      <c r="D2272" t="s">
        <v>3204</v>
      </c>
      <c r="E2272" s="249" t="s">
        <v>3044</v>
      </c>
      <c r="F2272">
        <v>2270</v>
      </c>
    </row>
    <row r="2273" spans="1:6" x14ac:dyDescent="0.25">
      <c r="A2273" t="s">
        <v>1657</v>
      </c>
      <c r="B2273" s="248">
        <v>6369</v>
      </c>
      <c r="C2273" t="s">
        <v>5227</v>
      </c>
      <c r="D2273" t="s">
        <v>3053</v>
      </c>
      <c r="E2273" s="249" t="s">
        <v>3048</v>
      </c>
      <c r="F2273">
        <v>2271</v>
      </c>
    </row>
    <row r="2274" spans="1:6" x14ac:dyDescent="0.25">
      <c r="A2274" t="s">
        <v>2745</v>
      </c>
      <c r="B2274" s="248">
        <v>2133</v>
      </c>
      <c r="C2274" t="s">
        <v>5228</v>
      </c>
      <c r="D2274" t="s">
        <v>3056</v>
      </c>
      <c r="E2274" s="249" t="s">
        <v>3028</v>
      </c>
      <c r="F2274">
        <v>2272</v>
      </c>
    </row>
    <row r="2275" spans="1:6" x14ac:dyDescent="0.25">
      <c r="A2275" t="s">
        <v>1930</v>
      </c>
      <c r="B2275" s="248">
        <v>4448</v>
      </c>
      <c r="C2275" t="s">
        <v>5229</v>
      </c>
      <c r="D2275" t="s">
        <v>3053</v>
      </c>
      <c r="E2275" s="249" t="s">
        <v>3001</v>
      </c>
      <c r="F2275">
        <v>2273</v>
      </c>
    </row>
    <row r="2276" spans="1:6" x14ac:dyDescent="0.25">
      <c r="A2276" t="s">
        <v>507</v>
      </c>
      <c r="B2276" s="248">
        <v>467</v>
      </c>
      <c r="C2276" t="s">
        <v>5230</v>
      </c>
      <c r="D2276" t="s">
        <v>3053</v>
      </c>
      <c r="E2276" s="249" t="s">
        <v>3044</v>
      </c>
      <c r="F2276">
        <v>2274</v>
      </c>
    </row>
    <row r="2277" spans="1:6" x14ac:dyDescent="0.25">
      <c r="A2277" t="s">
        <v>1403</v>
      </c>
      <c r="B2277" s="248">
        <v>1453</v>
      </c>
      <c r="C2277" t="s">
        <v>5231</v>
      </c>
      <c r="D2277" t="s">
        <v>3053</v>
      </c>
      <c r="E2277" s="249" t="s">
        <v>3047</v>
      </c>
      <c r="F2277">
        <v>2275</v>
      </c>
    </row>
    <row r="2278" spans="1:6" x14ac:dyDescent="0.25">
      <c r="A2278" t="s">
        <v>503</v>
      </c>
      <c r="B2278" s="248">
        <v>356</v>
      </c>
      <c r="C2278" t="s">
        <v>5232</v>
      </c>
      <c r="D2278" t="s">
        <v>3053</v>
      </c>
      <c r="E2278" s="249" t="s">
        <v>3044</v>
      </c>
      <c r="F2278">
        <v>2276</v>
      </c>
    </row>
    <row r="2279" spans="1:6" x14ac:dyDescent="0.25">
      <c r="A2279" t="s">
        <v>509</v>
      </c>
      <c r="B2279" s="248">
        <v>1338</v>
      </c>
      <c r="C2279" t="s">
        <v>5233</v>
      </c>
      <c r="D2279" t="s">
        <v>3053</v>
      </c>
      <c r="E2279" s="249" t="s">
        <v>3044</v>
      </c>
      <c r="F2279">
        <v>2277</v>
      </c>
    </row>
    <row r="2280" spans="1:6" x14ac:dyDescent="0.25">
      <c r="A2280" t="s">
        <v>590</v>
      </c>
      <c r="B2280" s="248">
        <v>816.5</v>
      </c>
      <c r="C2280" t="s">
        <v>5234</v>
      </c>
      <c r="D2280" t="s">
        <v>3053</v>
      </c>
      <c r="E2280" s="249" t="s">
        <v>3044</v>
      </c>
      <c r="F2280">
        <v>2278</v>
      </c>
    </row>
    <row r="2281" spans="1:6" x14ac:dyDescent="0.25">
      <c r="A2281" t="s">
        <v>1374</v>
      </c>
      <c r="B2281" s="248">
        <v>944</v>
      </c>
      <c r="C2281" t="s">
        <v>5235</v>
      </c>
      <c r="D2281" t="s">
        <v>3053</v>
      </c>
      <c r="E2281" s="249" t="s">
        <v>3047</v>
      </c>
      <c r="F2281">
        <v>2279</v>
      </c>
    </row>
    <row r="2282" spans="1:6" x14ac:dyDescent="0.25">
      <c r="A2282" t="s">
        <v>2990</v>
      </c>
      <c r="B2282" s="248">
        <v>3394</v>
      </c>
      <c r="C2282" t="s">
        <v>5236</v>
      </c>
      <c r="D2282" t="s">
        <v>3053</v>
      </c>
      <c r="E2282" s="249" t="s">
        <v>3046</v>
      </c>
      <c r="F2282">
        <v>2280</v>
      </c>
    </row>
    <row r="2283" spans="1:6" x14ac:dyDescent="0.25">
      <c r="A2283" t="s">
        <v>589</v>
      </c>
      <c r="B2283" s="248">
        <v>816.5</v>
      </c>
      <c r="C2283" t="s">
        <v>5237</v>
      </c>
      <c r="D2283" t="s">
        <v>3053</v>
      </c>
      <c r="E2283" s="249" t="s">
        <v>3044</v>
      </c>
      <c r="F2283">
        <v>2281</v>
      </c>
    </row>
    <row r="2284" spans="1:6" x14ac:dyDescent="0.25">
      <c r="A2284" t="s">
        <v>579</v>
      </c>
      <c r="B2284" s="248">
        <v>187</v>
      </c>
      <c r="C2284" t="s">
        <v>5238</v>
      </c>
      <c r="D2284" t="s">
        <v>3053</v>
      </c>
      <c r="E2284" s="249" t="s">
        <v>3044</v>
      </c>
      <c r="F2284">
        <v>2282</v>
      </c>
    </row>
    <row r="2285" spans="1:6" x14ac:dyDescent="0.25">
      <c r="A2285" t="s">
        <v>192</v>
      </c>
      <c r="B2285" s="248">
        <v>660.5</v>
      </c>
      <c r="C2285" t="s">
        <v>5239</v>
      </c>
      <c r="D2285" t="s">
        <v>3053</v>
      </c>
      <c r="E2285" s="249" t="s">
        <v>3043</v>
      </c>
      <c r="F2285">
        <v>2283</v>
      </c>
    </row>
    <row r="2286" spans="1:6" x14ac:dyDescent="0.25">
      <c r="A2286" t="s">
        <v>460</v>
      </c>
      <c r="B2286" s="248">
        <v>394.5</v>
      </c>
      <c r="C2286" t="s">
        <v>5240</v>
      </c>
      <c r="D2286" t="s">
        <v>3204</v>
      </c>
      <c r="E2286" s="249" t="s">
        <v>3043</v>
      </c>
      <c r="F2286">
        <v>2284</v>
      </c>
    </row>
    <row r="2287" spans="1:6" x14ac:dyDescent="0.25">
      <c r="A2287" t="s">
        <v>582</v>
      </c>
      <c r="B2287" s="248">
        <v>257.5</v>
      </c>
      <c r="C2287" t="s">
        <v>5241</v>
      </c>
      <c r="D2287" t="s">
        <v>3053</v>
      </c>
      <c r="E2287" s="249" t="s">
        <v>3044</v>
      </c>
      <c r="F2287">
        <v>2285</v>
      </c>
    </row>
    <row r="2288" spans="1:6" x14ac:dyDescent="0.25">
      <c r="A2288" t="s">
        <v>2666</v>
      </c>
      <c r="B2288" s="248">
        <v>2692</v>
      </c>
      <c r="C2288" t="s">
        <v>5242</v>
      </c>
      <c r="D2288" t="s">
        <v>3056</v>
      </c>
      <c r="E2288" s="249" t="s">
        <v>3028</v>
      </c>
      <c r="F2288">
        <v>2286</v>
      </c>
    </row>
    <row r="2289" spans="1:6" x14ac:dyDescent="0.25">
      <c r="A2289" t="s">
        <v>575</v>
      </c>
      <c r="B2289" s="248">
        <v>129.5</v>
      </c>
      <c r="C2289" t="s">
        <v>5243</v>
      </c>
      <c r="D2289" t="s">
        <v>3053</v>
      </c>
      <c r="E2289" s="249" t="s">
        <v>3044</v>
      </c>
      <c r="F2289">
        <v>2287</v>
      </c>
    </row>
    <row r="2290" spans="1:6" x14ac:dyDescent="0.25">
      <c r="A2290" t="s">
        <v>581</v>
      </c>
      <c r="B2290" s="248">
        <v>257.5</v>
      </c>
      <c r="C2290" t="s">
        <v>5244</v>
      </c>
      <c r="D2290" t="s">
        <v>3053</v>
      </c>
      <c r="E2290" s="249" t="s">
        <v>3044</v>
      </c>
      <c r="F2290">
        <v>2288</v>
      </c>
    </row>
    <row r="2291" spans="1:6" x14ac:dyDescent="0.25">
      <c r="A2291" t="s">
        <v>586</v>
      </c>
      <c r="B2291" s="248">
        <v>512</v>
      </c>
      <c r="C2291" t="s">
        <v>5245</v>
      </c>
      <c r="D2291" t="s">
        <v>3053</v>
      </c>
      <c r="E2291" s="249" t="s">
        <v>3044</v>
      </c>
      <c r="F2291">
        <v>2289</v>
      </c>
    </row>
    <row r="2292" spans="1:6" x14ac:dyDescent="0.25">
      <c r="A2292" t="s">
        <v>498</v>
      </c>
      <c r="B2292" s="248">
        <v>167</v>
      </c>
      <c r="C2292" t="s">
        <v>5246</v>
      </c>
      <c r="D2292" t="s">
        <v>3053</v>
      </c>
      <c r="E2292" s="249" t="s">
        <v>3044</v>
      </c>
      <c r="F2292">
        <v>2290</v>
      </c>
    </row>
    <row r="2293" spans="1:6" x14ac:dyDescent="0.25">
      <c r="A2293" t="s">
        <v>1254</v>
      </c>
      <c r="B2293" s="248">
        <v>25630</v>
      </c>
      <c r="C2293" t="s">
        <v>5247</v>
      </c>
      <c r="D2293" t="s">
        <v>3053</v>
      </c>
      <c r="E2293" s="249" t="s">
        <v>3046</v>
      </c>
      <c r="F2293">
        <v>2291</v>
      </c>
    </row>
    <row r="2294" spans="1:6" x14ac:dyDescent="0.25">
      <c r="A2294" t="s">
        <v>2837</v>
      </c>
      <c r="B2294" s="248">
        <v>92</v>
      </c>
      <c r="C2294" t="s">
        <v>5248</v>
      </c>
      <c r="D2294" t="s">
        <v>3204</v>
      </c>
      <c r="E2294" s="249" t="s">
        <v>3043</v>
      </c>
      <c r="F2294">
        <v>2292</v>
      </c>
    </row>
    <row r="2295" spans="1:6" x14ac:dyDescent="0.25">
      <c r="A2295" t="s">
        <v>451</v>
      </c>
      <c r="B2295" s="248">
        <v>108.5</v>
      </c>
      <c r="C2295" t="s">
        <v>5249</v>
      </c>
      <c r="D2295" t="s">
        <v>3204</v>
      </c>
      <c r="E2295" s="249" t="s">
        <v>3043</v>
      </c>
      <c r="F2295">
        <v>2293</v>
      </c>
    </row>
    <row r="2296" spans="1:6" x14ac:dyDescent="0.25">
      <c r="A2296" t="s">
        <v>379</v>
      </c>
      <c r="B2296" s="248">
        <v>574.5</v>
      </c>
      <c r="C2296" t="s">
        <v>5250</v>
      </c>
      <c r="D2296" t="s">
        <v>3053</v>
      </c>
      <c r="E2296" s="249" t="s">
        <v>3043</v>
      </c>
      <c r="F2296">
        <v>2294</v>
      </c>
    </row>
    <row r="2297" spans="1:6" x14ac:dyDescent="0.25">
      <c r="A2297" t="s">
        <v>2842</v>
      </c>
      <c r="B2297" s="248">
        <v>108.5</v>
      </c>
      <c r="C2297" t="s">
        <v>5251</v>
      </c>
      <c r="D2297" t="s">
        <v>3204</v>
      </c>
      <c r="E2297" s="249" t="s">
        <v>3043</v>
      </c>
      <c r="F2297">
        <v>2295</v>
      </c>
    </row>
    <row r="2298" spans="1:6" x14ac:dyDescent="0.25">
      <c r="A2298" t="s">
        <v>244</v>
      </c>
      <c r="B2298" s="248">
        <v>1179</v>
      </c>
      <c r="C2298" t="s">
        <v>5252</v>
      </c>
      <c r="D2298" t="s">
        <v>3053</v>
      </c>
      <c r="E2298" s="249" t="s">
        <v>3043</v>
      </c>
      <c r="F2298">
        <v>2296</v>
      </c>
    </row>
    <row r="2299" spans="1:6" x14ac:dyDescent="0.25">
      <c r="A2299" t="s">
        <v>484</v>
      </c>
      <c r="B2299" s="248">
        <v>87.75</v>
      </c>
      <c r="C2299" t="s">
        <v>5253</v>
      </c>
      <c r="D2299" t="s">
        <v>3053</v>
      </c>
      <c r="E2299" s="249" t="s">
        <v>3044</v>
      </c>
      <c r="F2299">
        <v>2297</v>
      </c>
    </row>
    <row r="2300" spans="1:6" x14ac:dyDescent="0.25">
      <c r="A2300" t="s">
        <v>5901</v>
      </c>
      <c r="B2300" s="248">
        <v>87.75</v>
      </c>
      <c r="C2300" t="s">
        <v>5926</v>
      </c>
      <c r="D2300" t="s">
        <v>3053</v>
      </c>
      <c r="E2300" s="249" t="s">
        <v>3044</v>
      </c>
      <c r="F2300">
        <v>2298</v>
      </c>
    </row>
    <row r="2301" spans="1:6" x14ac:dyDescent="0.25">
      <c r="A2301" t="s">
        <v>485</v>
      </c>
      <c r="B2301" s="248">
        <v>91.75</v>
      </c>
      <c r="C2301" t="s">
        <v>5254</v>
      </c>
      <c r="D2301" t="s">
        <v>3053</v>
      </c>
      <c r="E2301" s="249" t="s">
        <v>3044</v>
      </c>
      <c r="F2301">
        <v>2299</v>
      </c>
    </row>
    <row r="2302" spans="1:6" x14ac:dyDescent="0.25">
      <c r="A2302" t="s">
        <v>486</v>
      </c>
      <c r="B2302" s="248">
        <v>91.75</v>
      </c>
      <c r="C2302" t="s">
        <v>5255</v>
      </c>
      <c r="D2302" t="s">
        <v>3053</v>
      </c>
      <c r="E2302" s="249" t="s">
        <v>3044</v>
      </c>
      <c r="F2302">
        <v>2300</v>
      </c>
    </row>
    <row r="2303" spans="1:6" x14ac:dyDescent="0.25">
      <c r="A2303" t="s">
        <v>488</v>
      </c>
      <c r="B2303" s="248">
        <v>91.75</v>
      </c>
      <c r="C2303" t="s">
        <v>5256</v>
      </c>
      <c r="D2303" t="s">
        <v>3053</v>
      </c>
      <c r="E2303" s="249" t="s">
        <v>3044</v>
      </c>
      <c r="F2303">
        <v>2301</v>
      </c>
    </row>
    <row r="2304" spans="1:6" x14ac:dyDescent="0.25">
      <c r="A2304" t="s">
        <v>489</v>
      </c>
      <c r="B2304" s="248">
        <v>91.75</v>
      </c>
      <c r="C2304" t="s">
        <v>5257</v>
      </c>
      <c r="D2304" t="s">
        <v>3053</v>
      </c>
      <c r="E2304" s="249" t="s">
        <v>3044</v>
      </c>
      <c r="F2304">
        <v>2302</v>
      </c>
    </row>
    <row r="2305" spans="1:6" x14ac:dyDescent="0.25">
      <c r="A2305" t="s">
        <v>613</v>
      </c>
      <c r="B2305" s="248">
        <v>91.75</v>
      </c>
      <c r="C2305" t="s">
        <v>5258</v>
      </c>
      <c r="D2305" t="s">
        <v>3053</v>
      </c>
      <c r="E2305" s="249" t="s">
        <v>3044</v>
      </c>
      <c r="F2305">
        <v>2303</v>
      </c>
    </row>
    <row r="2306" spans="1:6" x14ac:dyDescent="0.25">
      <c r="A2306" t="s">
        <v>614</v>
      </c>
      <c r="B2306" s="248">
        <v>91.75</v>
      </c>
      <c r="C2306" t="s">
        <v>5259</v>
      </c>
      <c r="D2306" t="s">
        <v>3053</v>
      </c>
      <c r="E2306" s="249" t="s">
        <v>3044</v>
      </c>
      <c r="F2306">
        <v>2304</v>
      </c>
    </row>
    <row r="2307" spans="1:6" x14ac:dyDescent="0.25">
      <c r="A2307" t="s">
        <v>616</v>
      </c>
      <c r="B2307" s="248">
        <v>113</v>
      </c>
      <c r="C2307" t="s">
        <v>5260</v>
      </c>
      <c r="D2307" t="s">
        <v>3053</v>
      </c>
      <c r="E2307" s="249" t="s">
        <v>3044</v>
      </c>
      <c r="F2307">
        <v>2305</v>
      </c>
    </row>
    <row r="2308" spans="1:6" x14ac:dyDescent="0.25">
      <c r="A2308" t="s">
        <v>617</v>
      </c>
      <c r="B2308" s="248">
        <v>113</v>
      </c>
      <c r="C2308" t="s">
        <v>5261</v>
      </c>
      <c r="D2308" t="s">
        <v>3053</v>
      </c>
      <c r="E2308" s="249" t="s">
        <v>3044</v>
      </c>
      <c r="F2308">
        <v>2306</v>
      </c>
    </row>
    <row r="2309" spans="1:6" x14ac:dyDescent="0.25">
      <c r="A2309" t="s">
        <v>490</v>
      </c>
      <c r="B2309" s="248">
        <v>87.75</v>
      </c>
      <c r="C2309" t="s">
        <v>5262</v>
      </c>
      <c r="D2309" t="s">
        <v>3053</v>
      </c>
      <c r="E2309" s="249" t="s">
        <v>3044</v>
      </c>
      <c r="F2309">
        <v>2307</v>
      </c>
    </row>
    <row r="2310" spans="1:6" x14ac:dyDescent="0.25">
      <c r="A2310" t="s">
        <v>492</v>
      </c>
      <c r="B2310" s="248">
        <v>91.75</v>
      </c>
      <c r="C2310" t="s">
        <v>5263</v>
      </c>
      <c r="D2310" t="s">
        <v>3053</v>
      </c>
      <c r="E2310" s="249" t="s">
        <v>3044</v>
      </c>
      <c r="F2310">
        <v>2308</v>
      </c>
    </row>
    <row r="2311" spans="1:6" x14ac:dyDescent="0.25">
      <c r="A2311" t="s">
        <v>493</v>
      </c>
      <c r="B2311" s="248">
        <v>108</v>
      </c>
      <c r="C2311" t="s">
        <v>5264</v>
      </c>
      <c r="D2311" t="s">
        <v>3053</v>
      </c>
      <c r="E2311" s="249" t="s">
        <v>3044</v>
      </c>
      <c r="F2311">
        <v>2309</v>
      </c>
    </row>
    <row r="2312" spans="1:6" x14ac:dyDescent="0.25">
      <c r="A2312" t="s">
        <v>494</v>
      </c>
      <c r="B2312" s="248">
        <v>113</v>
      </c>
      <c r="C2312" t="s">
        <v>5265</v>
      </c>
      <c r="D2312" t="s">
        <v>3053</v>
      </c>
      <c r="E2312" s="249" t="s">
        <v>3044</v>
      </c>
      <c r="F2312">
        <v>2310</v>
      </c>
    </row>
    <row r="2313" spans="1:6" x14ac:dyDescent="0.25">
      <c r="A2313" t="s">
        <v>495</v>
      </c>
      <c r="B2313" s="248">
        <v>113</v>
      </c>
      <c r="C2313" t="s">
        <v>5266</v>
      </c>
      <c r="D2313" t="s">
        <v>3053</v>
      </c>
      <c r="E2313" s="249" t="s">
        <v>3044</v>
      </c>
      <c r="F2313">
        <v>2311</v>
      </c>
    </row>
    <row r="2314" spans="1:6" x14ac:dyDescent="0.25">
      <c r="A2314" t="s">
        <v>619</v>
      </c>
      <c r="B2314" s="248">
        <v>167</v>
      </c>
      <c r="C2314" t="s">
        <v>5267</v>
      </c>
      <c r="D2314" t="s">
        <v>3053</v>
      </c>
      <c r="E2314" s="249" t="s">
        <v>3044</v>
      </c>
      <c r="F2314">
        <v>2312</v>
      </c>
    </row>
    <row r="2315" spans="1:6" x14ac:dyDescent="0.25">
      <c r="A2315" t="s">
        <v>620</v>
      </c>
      <c r="B2315" s="248">
        <v>167</v>
      </c>
      <c r="C2315" t="s">
        <v>5268</v>
      </c>
      <c r="D2315" t="s">
        <v>3053</v>
      </c>
      <c r="E2315" s="249" t="s">
        <v>3044</v>
      </c>
      <c r="F2315">
        <v>2313</v>
      </c>
    </row>
    <row r="2316" spans="1:6" x14ac:dyDescent="0.25">
      <c r="A2316" t="s">
        <v>496</v>
      </c>
      <c r="B2316" s="248">
        <v>159</v>
      </c>
      <c r="C2316" t="s">
        <v>5269</v>
      </c>
      <c r="D2316" t="s">
        <v>3053</v>
      </c>
      <c r="E2316" s="249" t="s">
        <v>3044</v>
      </c>
      <c r="F2316">
        <v>2314</v>
      </c>
    </row>
    <row r="2317" spans="1:6" x14ac:dyDescent="0.25">
      <c r="A2317" t="s">
        <v>497</v>
      </c>
      <c r="B2317" s="248">
        <v>167</v>
      </c>
      <c r="C2317" t="s">
        <v>5270</v>
      </c>
      <c r="D2317" t="s">
        <v>3053</v>
      </c>
      <c r="E2317" s="249" t="s">
        <v>3044</v>
      </c>
      <c r="F2317">
        <v>2315</v>
      </c>
    </row>
    <row r="2318" spans="1:6" x14ac:dyDescent="0.25">
      <c r="A2318" t="s">
        <v>622</v>
      </c>
      <c r="B2318" s="248">
        <v>265</v>
      </c>
      <c r="C2318" t="s">
        <v>5271</v>
      </c>
      <c r="D2318" t="s">
        <v>3053</v>
      </c>
      <c r="E2318" s="249" t="s">
        <v>3044</v>
      </c>
      <c r="F2318">
        <v>2316</v>
      </c>
    </row>
    <row r="2319" spans="1:6" x14ac:dyDescent="0.25">
      <c r="A2319" t="s">
        <v>623</v>
      </c>
      <c r="B2319" s="248">
        <v>265</v>
      </c>
      <c r="C2319" t="s">
        <v>5272</v>
      </c>
      <c r="D2319" t="s">
        <v>3053</v>
      </c>
      <c r="E2319" s="249" t="s">
        <v>3044</v>
      </c>
      <c r="F2319">
        <v>2317</v>
      </c>
    </row>
    <row r="2320" spans="1:6" x14ac:dyDescent="0.25">
      <c r="A2320" t="s">
        <v>625</v>
      </c>
      <c r="B2320" s="248">
        <v>356</v>
      </c>
      <c r="C2320" t="s">
        <v>5273</v>
      </c>
      <c r="D2320" t="s">
        <v>3053</v>
      </c>
      <c r="E2320" s="249" t="s">
        <v>3044</v>
      </c>
      <c r="F2320">
        <v>2318</v>
      </c>
    </row>
    <row r="2321" spans="1:6" x14ac:dyDescent="0.25">
      <c r="A2321" t="s">
        <v>626</v>
      </c>
      <c r="B2321" s="248">
        <v>356</v>
      </c>
      <c r="C2321" t="s">
        <v>5274</v>
      </c>
      <c r="D2321" t="s">
        <v>3053</v>
      </c>
      <c r="E2321" s="249" t="s">
        <v>3044</v>
      </c>
      <c r="F2321">
        <v>2319</v>
      </c>
    </row>
    <row r="2322" spans="1:6" x14ac:dyDescent="0.25">
      <c r="A2322" t="s">
        <v>500</v>
      </c>
      <c r="B2322" s="248">
        <v>265</v>
      </c>
      <c r="C2322" t="s">
        <v>5275</v>
      </c>
      <c r="D2322" t="s">
        <v>3053</v>
      </c>
      <c r="E2322" s="249" t="s">
        <v>3044</v>
      </c>
      <c r="F2322">
        <v>2320</v>
      </c>
    </row>
    <row r="2323" spans="1:6" x14ac:dyDescent="0.25">
      <c r="A2323" t="s">
        <v>502</v>
      </c>
      <c r="B2323" s="248">
        <v>339.5</v>
      </c>
      <c r="C2323" t="s">
        <v>5276</v>
      </c>
      <c r="D2323" t="s">
        <v>3053</v>
      </c>
      <c r="E2323" s="249" t="s">
        <v>3044</v>
      </c>
      <c r="F2323">
        <v>2321</v>
      </c>
    </row>
    <row r="2324" spans="1:6" x14ac:dyDescent="0.25">
      <c r="A2324" t="s">
        <v>504</v>
      </c>
      <c r="B2324" s="248">
        <v>356</v>
      </c>
      <c r="C2324" t="s">
        <v>5277</v>
      </c>
      <c r="D2324" t="s">
        <v>3053</v>
      </c>
      <c r="E2324" s="249" t="s">
        <v>3044</v>
      </c>
      <c r="F2324">
        <v>2322</v>
      </c>
    </row>
    <row r="2325" spans="1:6" x14ac:dyDescent="0.25">
      <c r="A2325" t="s">
        <v>1263</v>
      </c>
      <c r="B2325" s="248">
        <v>2495</v>
      </c>
      <c r="C2325" t="s">
        <v>5278</v>
      </c>
      <c r="D2325" t="s">
        <v>3053</v>
      </c>
      <c r="E2325" s="249" t="s">
        <v>3046</v>
      </c>
      <c r="F2325">
        <v>2323</v>
      </c>
    </row>
    <row r="2326" spans="1:6" x14ac:dyDescent="0.25">
      <c r="A2326" t="s">
        <v>506</v>
      </c>
      <c r="B2326" s="248">
        <v>467</v>
      </c>
      <c r="C2326" t="s">
        <v>5279</v>
      </c>
      <c r="D2326" t="s">
        <v>3053</v>
      </c>
      <c r="E2326" s="249" t="s">
        <v>3044</v>
      </c>
      <c r="F2326">
        <v>2324</v>
      </c>
    </row>
    <row r="2327" spans="1:6" x14ac:dyDescent="0.25">
      <c r="A2327" t="s">
        <v>2407</v>
      </c>
      <c r="B2327" s="248">
        <v>6584</v>
      </c>
      <c r="C2327" t="s">
        <v>5280</v>
      </c>
      <c r="D2327" t="s">
        <v>3241</v>
      </c>
      <c r="E2327" s="249" t="s">
        <v>3020</v>
      </c>
      <c r="F2327">
        <v>2325</v>
      </c>
    </row>
    <row r="2328" spans="1:6" x14ac:dyDescent="0.25">
      <c r="A2328" t="s">
        <v>1755</v>
      </c>
      <c r="B2328" s="248">
        <v>3239</v>
      </c>
      <c r="C2328" t="s">
        <v>5281</v>
      </c>
      <c r="D2328" t="s">
        <v>3204</v>
      </c>
      <c r="E2328" s="249" t="s">
        <v>3048</v>
      </c>
      <c r="F2328">
        <v>2326</v>
      </c>
    </row>
    <row r="2329" spans="1:6" x14ac:dyDescent="0.25">
      <c r="A2329" t="s">
        <v>5833</v>
      </c>
      <c r="B2329" s="248">
        <v>22437</v>
      </c>
      <c r="C2329" t="s">
        <v>5993</v>
      </c>
      <c r="D2329" t="s">
        <v>3053</v>
      </c>
      <c r="E2329" s="249" t="s">
        <v>3046</v>
      </c>
      <c r="F2329">
        <v>2327</v>
      </c>
    </row>
    <row r="2330" spans="1:6" x14ac:dyDescent="0.25">
      <c r="A2330" t="s">
        <v>578</v>
      </c>
      <c r="B2330" s="248">
        <v>187</v>
      </c>
      <c r="C2330" t="s">
        <v>5282</v>
      </c>
      <c r="D2330" t="s">
        <v>3053</v>
      </c>
      <c r="E2330" s="249" t="s">
        <v>3044</v>
      </c>
      <c r="F2330">
        <v>2328</v>
      </c>
    </row>
    <row r="2331" spans="1:6" x14ac:dyDescent="0.25">
      <c r="A2331" t="s">
        <v>505</v>
      </c>
      <c r="B2331" s="248">
        <v>444</v>
      </c>
      <c r="C2331" t="s">
        <v>5283</v>
      </c>
      <c r="D2331" t="s">
        <v>3053</v>
      </c>
      <c r="E2331" s="249" t="s">
        <v>3044</v>
      </c>
      <c r="F2331">
        <v>2329</v>
      </c>
    </row>
    <row r="2332" spans="1:6" x14ac:dyDescent="0.25">
      <c r="A2332" t="s">
        <v>5826</v>
      </c>
      <c r="B2332" s="248">
        <v>6242</v>
      </c>
      <c r="C2332" t="s">
        <v>5979</v>
      </c>
      <c r="D2332" t="s">
        <v>3053</v>
      </c>
      <c r="E2332" s="249" t="s">
        <v>3046</v>
      </c>
      <c r="F2332">
        <v>2330</v>
      </c>
    </row>
    <row r="2333" spans="1:6" x14ac:dyDescent="0.25">
      <c r="A2333" t="s">
        <v>512</v>
      </c>
      <c r="B2333" s="248">
        <v>2702</v>
      </c>
      <c r="C2333" t="s">
        <v>5284</v>
      </c>
      <c r="D2333" t="s">
        <v>3053</v>
      </c>
      <c r="E2333" s="249" t="s">
        <v>3044</v>
      </c>
      <c r="F2333">
        <v>2331</v>
      </c>
    </row>
    <row r="2334" spans="1:6" x14ac:dyDescent="0.25">
      <c r="A2334" t="s">
        <v>2402</v>
      </c>
      <c r="B2334" s="248">
        <v>1151</v>
      </c>
      <c r="C2334" t="s">
        <v>5285</v>
      </c>
      <c r="D2334" t="s">
        <v>3241</v>
      </c>
      <c r="E2334" s="249" t="s">
        <v>3020</v>
      </c>
      <c r="F2334">
        <v>2332</v>
      </c>
    </row>
    <row r="2335" spans="1:6" x14ac:dyDescent="0.25">
      <c r="A2335" t="s">
        <v>572</v>
      </c>
      <c r="B2335" s="248">
        <v>129.5</v>
      </c>
      <c r="C2335" t="s">
        <v>5286</v>
      </c>
      <c r="D2335" t="s">
        <v>3053</v>
      </c>
      <c r="E2335" s="249" t="s">
        <v>3044</v>
      </c>
      <c r="F2335">
        <v>2333</v>
      </c>
    </row>
    <row r="2336" spans="1:6" x14ac:dyDescent="0.25">
      <c r="A2336" t="s">
        <v>573</v>
      </c>
      <c r="B2336" s="248">
        <v>129.5</v>
      </c>
      <c r="C2336" t="s">
        <v>5287</v>
      </c>
      <c r="D2336" t="s">
        <v>3053</v>
      </c>
      <c r="E2336" s="249" t="s">
        <v>3044</v>
      </c>
      <c r="F2336">
        <v>2334</v>
      </c>
    </row>
    <row r="2337" spans="1:6" x14ac:dyDescent="0.25">
      <c r="A2337" t="s">
        <v>598</v>
      </c>
      <c r="B2337" s="248">
        <v>78.75</v>
      </c>
      <c r="C2337" t="s">
        <v>5288</v>
      </c>
      <c r="D2337" t="s">
        <v>3053</v>
      </c>
      <c r="E2337" s="249" t="s">
        <v>3044</v>
      </c>
      <c r="F2337">
        <v>2335</v>
      </c>
    </row>
    <row r="2338" spans="1:6" x14ac:dyDescent="0.25">
      <c r="A2338" t="s">
        <v>2868</v>
      </c>
      <c r="B2338" s="248">
        <v>8261</v>
      </c>
      <c r="C2338" t="s">
        <v>5289</v>
      </c>
      <c r="D2338" t="s">
        <v>3053</v>
      </c>
      <c r="E2338" s="249" t="s">
        <v>3045</v>
      </c>
      <c r="F2338">
        <v>2336</v>
      </c>
    </row>
    <row r="2339" spans="1:6" x14ac:dyDescent="0.25">
      <c r="A2339" t="s">
        <v>2621</v>
      </c>
      <c r="B2339" s="248">
        <v>479.5</v>
      </c>
      <c r="C2339" t="s">
        <v>5290</v>
      </c>
      <c r="D2339" t="s">
        <v>3056</v>
      </c>
      <c r="E2339" s="249" t="s">
        <v>3028</v>
      </c>
      <c r="F2339">
        <v>2337</v>
      </c>
    </row>
    <row r="2340" spans="1:6" x14ac:dyDescent="0.25">
      <c r="A2340" t="s">
        <v>100</v>
      </c>
      <c r="B2340" s="248">
        <v>1233</v>
      </c>
      <c r="C2340" t="s">
        <v>5291</v>
      </c>
      <c r="D2340" t="s">
        <v>3053</v>
      </c>
      <c r="E2340" s="249" t="s">
        <v>3043</v>
      </c>
      <c r="F2340">
        <v>2338</v>
      </c>
    </row>
    <row r="2341" spans="1:6" x14ac:dyDescent="0.25">
      <c r="A2341" t="s">
        <v>2167</v>
      </c>
      <c r="B2341" s="248">
        <v>16635</v>
      </c>
      <c r="C2341" t="s">
        <v>5292</v>
      </c>
      <c r="D2341" t="s">
        <v>3204</v>
      </c>
      <c r="E2341" s="249" t="s">
        <v>3016</v>
      </c>
      <c r="F2341">
        <v>2339</v>
      </c>
    </row>
    <row r="2342" spans="1:6" x14ac:dyDescent="0.25">
      <c r="A2342" t="s">
        <v>1203</v>
      </c>
      <c r="B2342" s="248">
        <v>1878</v>
      </c>
      <c r="C2342" t="s">
        <v>5293</v>
      </c>
      <c r="D2342" t="s">
        <v>3053</v>
      </c>
      <c r="E2342" s="249" t="s">
        <v>3046</v>
      </c>
      <c r="F2342">
        <v>2340</v>
      </c>
    </row>
    <row r="2343" spans="1:6" x14ac:dyDescent="0.25">
      <c r="A2343" t="s">
        <v>587</v>
      </c>
      <c r="B2343" s="248">
        <v>512</v>
      </c>
      <c r="C2343" t="s">
        <v>5294</v>
      </c>
      <c r="D2343" t="s">
        <v>3053</v>
      </c>
      <c r="E2343" s="249" t="s">
        <v>3044</v>
      </c>
      <c r="F2343">
        <v>2341</v>
      </c>
    </row>
    <row r="2344" spans="1:6" x14ac:dyDescent="0.25">
      <c r="A2344" t="s">
        <v>1025</v>
      </c>
      <c r="B2344" s="248">
        <v>2259</v>
      </c>
      <c r="C2344" t="s">
        <v>5295</v>
      </c>
      <c r="D2344" t="s">
        <v>3053</v>
      </c>
      <c r="E2344" s="249" t="s">
        <v>3045</v>
      </c>
      <c r="F2344">
        <v>2342</v>
      </c>
    </row>
    <row r="2345" spans="1:6" x14ac:dyDescent="0.25">
      <c r="A2345" t="s">
        <v>576</v>
      </c>
      <c r="B2345" s="248">
        <v>129.5</v>
      </c>
      <c r="C2345" t="s">
        <v>5296</v>
      </c>
      <c r="D2345" t="s">
        <v>3053</v>
      </c>
      <c r="E2345" s="249" t="s">
        <v>3044</v>
      </c>
      <c r="F2345">
        <v>2343</v>
      </c>
    </row>
    <row r="2346" spans="1:6" x14ac:dyDescent="0.25">
      <c r="A2346" t="s">
        <v>1259</v>
      </c>
      <c r="B2346" s="248">
        <v>2947</v>
      </c>
      <c r="C2346" t="s">
        <v>5297</v>
      </c>
      <c r="D2346" t="s">
        <v>3053</v>
      </c>
      <c r="E2346" s="249" t="s">
        <v>3046</v>
      </c>
      <c r="F2346">
        <v>2344</v>
      </c>
    </row>
    <row r="2347" spans="1:6" x14ac:dyDescent="0.25">
      <c r="A2347" t="s">
        <v>1652</v>
      </c>
      <c r="B2347" s="248">
        <v>2179</v>
      </c>
      <c r="C2347" t="s">
        <v>5298</v>
      </c>
      <c r="D2347" t="s">
        <v>3053</v>
      </c>
      <c r="E2347" s="249" t="s">
        <v>3048</v>
      </c>
      <c r="F2347">
        <v>2345</v>
      </c>
    </row>
    <row r="2348" spans="1:6" x14ac:dyDescent="0.25">
      <c r="A2348" t="s">
        <v>1922</v>
      </c>
      <c r="B2348" s="248">
        <v>10743</v>
      </c>
      <c r="C2348" t="s">
        <v>5299</v>
      </c>
      <c r="D2348" t="s">
        <v>3053</v>
      </c>
      <c r="E2348" s="249" t="s">
        <v>3001</v>
      </c>
      <c r="F2348">
        <v>2346</v>
      </c>
    </row>
    <row r="2349" spans="1:6" x14ac:dyDescent="0.25">
      <c r="A2349" t="s">
        <v>2889</v>
      </c>
      <c r="B2349" s="248">
        <v>37786</v>
      </c>
      <c r="C2349" t="s">
        <v>5300</v>
      </c>
      <c r="D2349" t="s">
        <v>3053</v>
      </c>
      <c r="E2349" s="249" t="s">
        <v>3045</v>
      </c>
      <c r="F2349">
        <v>2347</v>
      </c>
    </row>
    <row r="2350" spans="1:6" x14ac:dyDescent="0.25">
      <c r="A2350" t="s">
        <v>501</v>
      </c>
      <c r="B2350" s="248">
        <v>265</v>
      </c>
      <c r="C2350" t="s">
        <v>5301</v>
      </c>
      <c r="D2350" t="s">
        <v>3053</v>
      </c>
      <c r="E2350" s="249" t="s">
        <v>3044</v>
      </c>
      <c r="F2350">
        <v>2348</v>
      </c>
    </row>
    <row r="2351" spans="1:6" x14ac:dyDescent="0.25">
      <c r="A2351" t="s">
        <v>2710</v>
      </c>
      <c r="B2351" s="248">
        <v>13319</v>
      </c>
      <c r="C2351" t="s">
        <v>5302</v>
      </c>
      <c r="D2351" t="s">
        <v>3056</v>
      </c>
      <c r="E2351" s="249" t="s">
        <v>3028</v>
      </c>
      <c r="F2351">
        <v>2349</v>
      </c>
    </row>
    <row r="2352" spans="1:6" x14ac:dyDescent="0.25">
      <c r="A2352" t="s">
        <v>2591</v>
      </c>
      <c r="B2352" s="248">
        <v>8163</v>
      </c>
      <c r="C2352" t="s">
        <v>5303</v>
      </c>
      <c r="D2352" t="s">
        <v>3056</v>
      </c>
      <c r="E2352" s="249" t="s">
        <v>3028</v>
      </c>
      <c r="F2352">
        <v>2350</v>
      </c>
    </row>
    <row r="2353" spans="1:6" x14ac:dyDescent="0.25">
      <c r="A2353" t="s">
        <v>1401</v>
      </c>
      <c r="B2353" s="248">
        <v>1026</v>
      </c>
      <c r="C2353" t="s">
        <v>5304</v>
      </c>
      <c r="D2353" t="s">
        <v>3053</v>
      </c>
      <c r="E2353" s="249" t="s">
        <v>3047</v>
      </c>
      <c r="F2353">
        <v>2351</v>
      </c>
    </row>
    <row r="2354" spans="1:6" x14ac:dyDescent="0.25">
      <c r="A2354" t="s">
        <v>1999</v>
      </c>
      <c r="B2354" s="248">
        <v>125</v>
      </c>
      <c r="C2354" t="s">
        <v>5305</v>
      </c>
      <c r="D2354" t="s">
        <v>3204</v>
      </c>
      <c r="E2354" s="249" t="s">
        <v>3001</v>
      </c>
      <c r="F2354">
        <v>2352</v>
      </c>
    </row>
    <row r="2355" spans="1:6" x14ac:dyDescent="0.25">
      <c r="A2355" t="s">
        <v>2002</v>
      </c>
      <c r="B2355" s="248">
        <v>250</v>
      </c>
      <c r="C2355" t="s">
        <v>5306</v>
      </c>
      <c r="D2355" t="s">
        <v>3204</v>
      </c>
      <c r="E2355" s="249" t="s">
        <v>3001</v>
      </c>
      <c r="F2355">
        <v>2353</v>
      </c>
    </row>
    <row r="2356" spans="1:6" x14ac:dyDescent="0.25">
      <c r="A2356" t="s">
        <v>2001</v>
      </c>
      <c r="B2356" s="248">
        <v>125</v>
      </c>
      <c r="C2356" t="s">
        <v>5307</v>
      </c>
      <c r="D2356" t="s">
        <v>3204</v>
      </c>
      <c r="E2356" s="249" t="s">
        <v>3001</v>
      </c>
      <c r="F2356">
        <v>2354</v>
      </c>
    </row>
    <row r="2357" spans="1:6" x14ac:dyDescent="0.25">
      <c r="A2357" t="s">
        <v>2000</v>
      </c>
      <c r="B2357" s="248">
        <v>125</v>
      </c>
      <c r="C2357" t="s">
        <v>5308</v>
      </c>
      <c r="D2357" t="s">
        <v>3204</v>
      </c>
      <c r="E2357" s="249" t="s">
        <v>3001</v>
      </c>
      <c r="F2357">
        <v>2355</v>
      </c>
    </row>
    <row r="2358" spans="1:6" x14ac:dyDescent="0.25">
      <c r="A2358" t="s">
        <v>2401</v>
      </c>
      <c r="B2358" s="248">
        <v>896</v>
      </c>
      <c r="C2358" t="s">
        <v>5309</v>
      </c>
      <c r="D2358" t="s">
        <v>3241</v>
      </c>
      <c r="E2358" s="249" t="s">
        <v>3020</v>
      </c>
      <c r="F2358">
        <v>2356</v>
      </c>
    </row>
    <row r="2359" spans="1:6" x14ac:dyDescent="0.25">
      <c r="A2359" t="s">
        <v>2318</v>
      </c>
      <c r="B2359" s="248">
        <v>1420</v>
      </c>
      <c r="C2359" t="s">
        <v>5310</v>
      </c>
      <c r="D2359" t="s">
        <v>3241</v>
      </c>
      <c r="E2359" s="249" t="s">
        <v>3020</v>
      </c>
      <c r="F2359">
        <v>2357</v>
      </c>
    </row>
    <row r="2360" spans="1:6" x14ac:dyDescent="0.25">
      <c r="A2360" t="s">
        <v>397</v>
      </c>
      <c r="B2360" s="248">
        <v>6687</v>
      </c>
      <c r="C2360" t="s">
        <v>5311</v>
      </c>
      <c r="D2360" t="s">
        <v>3053</v>
      </c>
      <c r="E2360" s="249" t="s">
        <v>3043</v>
      </c>
      <c r="F2360">
        <v>2358</v>
      </c>
    </row>
    <row r="2361" spans="1:6" x14ac:dyDescent="0.25">
      <c r="A2361" t="s">
        <v>1444</v>
      </c>
      <c r="B2361" s="248">
        <v>3239</v>
      </c>
      <c r="C2361" t="s">
        <v>5312</v>
      </c>
      <c r="D2361" t="s">
        <v>3204</v>
      </c>
      <c r="E2361" s="249" t="s">
        <v>3048</v>
      </c>
      <c r="F2361">
        <v>2359</v>
      </c>
    </row>
    <row r="2362" spans="1:6" x14ac:dyDescent="0.25">
      <c r="A2362" t="s">
        <v>2359</v>
      </c>
      <c r="B2362" s="248">
        <v>704.5</v>
      </c>
      <c r="C2362" t="s">
        <v>5313</v>
      </c>
      <c r="D2362" t="s">
        <v>3241</v>
      </c>
      <c r="E2362" s="249" t="s">
        <v>3020</v>
      </c>
      <c r="F2362">
        <v>2360</v>
      </c>
    </row>
    <row r="2363" spans="1:6" x14ac:dyDescent="0.25">
      <c r="A2363" t="s">
        <v>2405</v>
      </c>
      <c r="B2363" s="248">
        <v>2802</v>
      </c>
      <c r="C2363" t="s">
        <v>5314</v>
      </c>
      <c r="D2363" t="s">
        <v>3241</v>
      </c>
      <c r="E2363" s="249" t="s">
        <v>3020</v>
      </c>
      <c r="F2363">
        <v>2361</v>
      </c>
    </row>
    <row r="2364" spans="1:6" x14ac:dyDescent="0.25">
      <c r="A2364" t="s">
        <v>879</v>
      </c>
      <c r="B2364" s="248">
        <v>15314</v>
      </c>
      <c r="C2364" t="s">
        <v>5315</v>
      </c>
      <c r="D2364" t="s">
        <v>3053</v>
      </c>
      <c r="E2364" s="249" t="s">
        <v>3045</v>
      </c>
      <c r="F2364">
        <v>2362</v>
      </c>
    </row>
    <row r="2365" spans="1:6" x14ac:dyDescent="0.25">
      <c r="A2365" t="s">
        <v>593</v>
      </c>
      <c r="B2365" s="248">
        <v>1872</v>
      </c>
      <c r="C2365" t="s">
        <v>5316</v>
      </c>
      <c r="D2365" t="s">
        <v>3053</v>
      </c>
      <c r="E2365" s="249" t="s">
        <v>3044</v>
      </c>
      <c r="F2365">
        <v>2363</v>
      </c>
    </row>
    <row r="2366" spans="1:6" x14ac:dyDescent="0.25">
      <c r="A2366" t="s">
        <v>2408</v>
      </c>
      <c r="B2366" s="248">
        <v>10541</v>
      </c>
      <c r="C2366" t="s">
        <v>5317</v>
      </c>
      <c r="D2366" t="s">
        <v>3241</v>
      </c>
      <c r="E2366" s="249" t="s">
        <v>3020</v>
      </c>
      <c r="F2366">
        <v>2364</v>
      </c>
    </row>
    <row r="2367" spans="1:6" x14ac:dyDescent="0.25">
      <c r="A2367" t="s">
        <v>1786</v>
      </c>
      <c r="B2367" s="248">
        <v>39574</v>
      </c>
      <c r="C2367" t="s">
        <v>5318</v>
      </c>
      <c r="D2367" t="s">
        <v>3053</v>
      </c>
      <c r="E2367" s="249" t="s">
        <v>3048</v>
      </c>
      <c r="F2367">
        <v>2365</v>
      </c>
    </row>
    <row r="2368" spans="1:6" x14ac:dyDescent="0.25">
      <c r="A2368" t="s">
        <v>2673</v>
      </c>
      <c r="B2368" s="248">
        <v>23263</v>
      </c>
      <c r="C2368" t="s">
        <v>5319</v>
      </c>
      <c r="D2368" t="s">
        <v>3056</v>
      </c>
      <c r="E2368" s="249" t="s">
        <v>3028</v>
      </c>
      <c r="F2368">
        <v>2366</v>
      </c>
    </row>
    <row r="2369" spans="1:6" x14ac:dyDescent="0.25">
      <c r="A2369" t="s">
        <v>2715</v>
      </c>
      <c r="B2369" s="248">
        <v>1150</v>
      </c>
      <c r="C2369" t="s">
        <v>5320</v>
      </c>
      <c r="D2369" t="s">
        <v>3056</v>
      </c>
      <c r="E2369" s="249" t="s">
        <v>3028</v>
      </c>
      <c r="F2369">
        <v>2367</v>
      </c>
    </row>
    <row r="2370" spans="1:6" x14ac:dyDescent="0.25">
      <c r="A2370" t="s">
        <v>628</v>
      </c>
      <c r="B2370" s="248">
        <v>467</v>
      </c>
      <c r="C2370" t="s">
        <v>5321</v>
      </c>
      <c r="D2370" t="s">
        <v>3053</v>
      </c>
      <c r="E2370" s="249" t="s">
        <v>3044</v>
      </c>
      <c r="F2370">
        <v>2368</v>
      </c>
    </row>
    <row r="2371" spans="1:6" x14ac:dyDescent="0.25">
      <c r="A2371" t="s">
        <v>1929</v>
      </c>
      <c r="B2371" s="248">
        <v>4448</v>
      </c>
      <c r="C2371" t="s">
        <v>5322</v>
      </c>
      <c r="D2371" t="s">
        <v>3053</v>
      </c>
      <c r="E2371" s="249" t="s">
        <v>3001</v>
      </c>
      <c r="F2371">
        <v>2369</v>
      </c>
    </row>
    <row r="2372" spans="1:6" x14ac:dyDescent="0.25">
      <c r="A2372" t="s">
        <v>1247</v>
      </c>
      <c r="B2372" s="248">
        <v>6824</v>
      </c>
      <c r="C2372" t="s">
        <v>5323</v>
      </c>
      <c r="D2372" t="s">
        <v>3053</v>
      </c>
      <c r="E2372" s="249" t="s">
        <v>3046</v>
      </c>
      <c r="F2372">
        <v>2370</v>
      </c>
    </row>
    <row r="2373" spans="1:6" x14ac:dyDescent="0.25">
      <c r="A2373" t="s">
        <v>1235</v>
      </c>
      <c r="B2373" s="248">
        <v>2823</v>
      </c>
      <c r="C2373" t="s">
        <v>5324</v>
      </c>
      <c r="D2373" t="s">
        <v>3053</v>
      </c>
      <c r="E2373" s="249" t="s">
        <v>3046</v>
      </c>
      <c r="F2373">
        <v>2371</v>
      </c>
    </row>
    <row r="2374" spans="1:6" x14ac:dyDescent="0.25">
      <c r="A2374" t="s">
        <v>1822</v>
      </c>
      <c r="B2374" s="248">
        <v>498.5</v>
      </c>
      <c r="C2374" t="s">
        <v>5325</v>
      </c>
      <c r="D2374" t="s">
        <v>3204</v>
      </c>
      <c r="E2374" s="249" t="s">
        <v>3049</v>
      </c>
      <c r="F2374">
        <v>2372</v>
      </c>
    </row>
    <row r="2375" spans="1:6" x14ac:dyDescent="0.25">
      <c r="A2375" t="s">
        <v>2620</v>
      </c>
      <c r="B2375" s="248">
        <v>464</v>
      </c>
      <c r="C2375" t="s">
        <v>5326</v>
      </c>
      <c r="D2375" t="s">
        <v>3056</v>
      </c>
      <c r="E2375" s="249" t="s">
        <v>3028</v>
      </c>
      <c r="F2375">
        <v>2373</v>
      </c>
    </row>
    <row r="2376" spans="1:6" x14ac:dyDescent="0.25">
      <c r="A2376" t="s">
        <v>1255</v>
      </c>
      <c r="B2376" s="248">
        <v>39835</v>
      </c>
      <c r="C2376" t="s">
        <v>5327</v>
      </c>
      <c r="D2376" t="s">
        <v>3053</v>
      </c>
      <c r="E2376" s="249" t="s">
        <v>3046</v>
      </c>
      <c r="F2376">
        <v>2374</v>
      </c>
    </row>
    <row r="2377" spans="1:6" x14ac:dyDescent="0.25">
      <c r="A2377" t="s">
        <v>1878</v>
      </c>
      <c r="B2377" s="248">
        <v>24822</v>
      </c>
      <c r="C2377" t="s">
        <v>5328</v>
      </c>
      <c r="D2377" t="s">
        <v>3053</v>
      </c>
      <c r="E2377" s="249" t="s">
        <v>3049</v>
      </c>
      <c r="F2377">
        <v>2375</v>
      </c>
    </row>
    <row r="2378" spans="1:6" x14ac:dyDescent="0.25">
      <c r="A2378" t="s">
        <v>2933</v>
      </c>
      <c r="B2378" s="248">
        <v>1246</v>
      </c>
      <c r="C2378" t="s">
        <v>5329</v>
      </c>
      <c r="D2378" t="s">
        <v>3204</v>
      </c>
      <c r="E2378" s="249" t="s">
        <v>3050</v>
      </c>
      <c r="F2378">
        <v>2376</v>
      </c>
    </row>
    <row r="2379" spans="1:6" x14ac:dyDescent="0.25">
      <c r="A2379" t="s">
        <v>1390</v>
      </c>
      <c r="B2379" s="248">
        <v>4724</v>
      </c>
      <c r="C2379" t="s">
        <v>5330</v>
      </c>
      <c r="D2379" t="s">
        <v>3053</v>
      </c>
      <c r="E2379" s="249" t="s">
        <v>3047</v>
      </c>
      <c r="F2379">
        <v>2377</v>
      </c>
    </row>
    <row r="2380" spans="1:6" x14ac:dyDescent="0.25">
      <c r="A2380" t="s">
        <v>1252</v>
      </c>
      <c r="B2380" s="248">
        <v>11232</v>
      </c>
      <c r="C2380" t="s">
        <v>5331</v>
      </c>
      <c r="D2380" t="s">
        <v>3053</v>
      </c>
      <c r="E2380" s="249" t="s">
        <v>3046</v>
      </c>
      <c r="F2380">
        <v>2378</v>
      </c>
    </row>
    <row r="2381" spans="1:6" x14ac:dyDescent="0.25">
      <c r="A2381" t="s">
        <v>1302</v>
      </c>
      <c r="B2381" s="248">
        <v>506.5</v>
      </c>
      <c r="C2381" t="s">
        <v>5332</v>
      </c>
      <c r="D2381" t="s">
        <v>3053</v>
      </c>
      <c r="E2381" s="249" t="s">
        <v>3047</v>
      </c>
      <c r="F2381">
        <v>2379</v>
      </c>
    </row>
    <row r="2382" spans="1:6" x14ac:dyDescent="0.25">
      <c r="A2382" t="s">
        <v>1631</v>
      </c>
      <c r="B2382" s="248">
        <v>1071</v>
      </c>
      <c r="C2382" t="s">
        <v>5333</v>
      </c>
      <c r="D2382" t="s">
        <v>3053</v>
      </c>
      <c r="E2382" s="249" t="s">
        <v>3048</v>
      </c>
      <c r="F2382">
        <v>2380</v>
      </c>
    </row>
    <row r="2383" spans="1:6" x14ac:dyDescent="0.25">
      <c r="A2383" t="s">
        <v>902</v>
      </c>
      <c r="B2383" s="248">
        <v>1128</v>
      </c>
      <c r="C2383" t="s">
        <v>5334</v>
      </c>
      <c r="D2383" t="s">
        <v>3053</v>
      </c>
      <c r="E2383" s="249" t="s">
        <v>3045</v>
      </c>
      <c r="F2383">
        <v>2381</v>
      </c>
    </row>
    <row r="2384" spans="1:6" x14ac:dyDescent="0.25">
      <c r="A2384" t="s">
        <v>2829</v>
      </c>
      <c r="B2384" s="248">
        <v>7635</v>
      </c>
      <c r="C2384" t="s">
        <v>5335</v>
      </c>
      <c r="D2384" t="s">
        <v>3204</v>
      </c>
      <c r="E2384" s="249" t="s">
        <v>3043</v>
      </c>
      <c r="F2384">
        <v>2382</v>
      </c>
    </row>
    <row r="2385" spans="1:6" x14ac:dyDescent="0.25">
      <c r="A2385" t="s">
        <v>666</v>
      </c>
      <c r="B2385" s="248">
        <v>212</v>
      </c>
      <c r="C2385" t="s">
        <v>5336</v>
      </c>
      <c r="D2385" t="s">
        <v>3053</v>
      </c>
      <c r="E2385" s="249" t="s">
        <v>3045</v>
      </c>
      <c r="F2385">
        <v>2383</v>
      </c>
    </row>
    <row r="2386" spans="1:6" x14ac:dyDescent="0.25">
      <c r="A2386" t="s">
        <v>389</v>
      </c>
      <c r="B2386" s="248">
        <v>1754</v>
      </c>
      <c r="C2386" t="s">
        <v>5337</v>
      </c>
      <c r="D2386" t="s">
        <v>3053</v>
      </c>
      <c r="E2386" s="249" t="s">
        <v>3043</v>
      </c>
      <c r="F2386">
        <v>2384</v>
      </c>
    </row>
    <row r="2387" spans="1:6" x14ac:dyDescent="0.25">
      <c r="A2387" t="s">
        <v>1712</v>
      </c>
      <c r="B2387" s="248">
        <v>8533</v>
      </c>
      <c r="C2387" t="s">
        <v>5338</v>
      </c>
      <c r="D2387" t="s">
        <v>3053</v>
      </c>
      <c r="E2387" s="249" t="s">
        <v>3048</v>
      </c>
      <c r="F2387">
        <v>2385</v>
      </c>
    </row>
    <row r="2388" spans="1:6" x14ac:dyDescent="0.25">
      <c r="A2388" t="s">
        <v>2810</v>
      </c>
      <c r="B2388" s="248">
        <v>73.5</v>
      </c>
      <c r="C2388" t="s">
        <v>5339</v>
      </c>
      <c r="D2388" t="s">
        <v>3204</v>
      </c>
      <c r="E2388" s="249" t="s">
        <v>3043</v>
      </c>
      <c r="F2388">
        <v>2386</v>
      </c>
    </row>
    <row r="2389" spans="1:6" x14ac:dyDescent="0.25">
      <c r="A2389" t="s">
        <v>2377</v>
      </c>
      <c r="B2389" s="248">
        <v>4269</v>
      </c>
      <c r="C2389" t="s">
        <v>5340</v>
      </c>
      <c r="D2389" t="s">
        <v>3241</v>
      </c>
      <c r="E2389" s="249" t="s">
        <v>3020</v>
      </c>
      <c r="F2389">
        <v>2387</v>
      </c>
    </row>
    <row r="2390" spans="1:6" x14ac:dyDescent="0.25">
      <c r="A2390" t="s">
        <v>2713</v>
      </c>
      <c r="B2390" s="248">
        <v>873</v>
      </c>
      <c r="C2390" t="s">
        <v>5341</v>
      </c>
      <c r="D2390" t="s">
        <v>3056</v>
      </c>
      <c r="E2390" s="249" t="s">
        <v>3028</v>
      </c>
      <c r="F2390">
        <v>2388</v>
      </c>
    </row>
    <row r="2391" spans="1:6" x14ac:dyDescent="0.25">
      <c r="A2391" t="s">
        <v>2674</v>
      </c>
      <c r="B2391" s="248">
        <v>31664</v>
      </c>
      <c r="C2391" t="s">
        <v>5342</v>
      </c>
      <c r="D2391" t="s">
        <v>3056</v>
      </c>
      <c r="E2391" s="249" t="s">
        <v>3028</v>
      </c>
      <c r="F2391">
        <v>2389</v>
      </c>
    </row>
    <row r="2392" spans="1:6" x14ac:dyDescent="0.25">
      <c r="A2392" t="s">
        <v>585</v>
      </c>
      <c r="B2392" s="248">
        <v>488</v>
      </c>
      <c r="C2392" t="s">
        <v>5343</v>
      </c>
      <c r="D2392" t="s">
        <v>3053</v>
      </c>
      <c r="E2392" s="249" t="s">
        <v>3044</v>
      </c>
      <c r="F2392">
        <v>2390</v>
      </c>
    </row>
    <row r="2393" spans="1:6" x14ac:dyDescent="0.25">
      <c r="A2393" t="s">
        <v>584</v>
      </c>
      <c r="B2393" s="248">
        <v>396</v>
      </c>
      <c r="C2393" t="s">
        <v>5344</v>
      </c>
      <c r="D2393" t="s">
        <v>3053</v>
      </c>
      <c r="E2393" s="249" t="s">
        <v>3044</v>
      </c>
      <c r="F2393">
        <v>2391</v>
      </c>
    </row>
    <row r="2394" spans="1:6" x14ac:dyDescent="0.25">
      <c r="A2394" t="s">
        <v>588</v>
      </c>
      <c r="B2394" s="248">
        <v>778</v>
      </c>
      <c r="C2394" t="s">
        <v>5345</v>
      </c>
      <c r="D2394" t="s">
        <v>3053</v>
      </c>
      <c r="E2394" s="249" t="s">
        <v>3044</v>
      </c>
      <c r="F2394">
        <v>2392</v>
      </c>
    </row>
    <row r="2395" spans="1:6" x14ac:dyDescent="0.25">
      <c r="A2395" t="s">
        <v>592</v>
      </c>
      <c r="B2395" s="248">
        <v>1872</v>
      </c>
      <c r="C2395" t="s">
        <v>5346</v>
      </c>
      <c r="D2395" t="s">
        <v>3053</v>
      </c>
      <c r="E2395" s="249" t="s">
        <v>3044</v>
      </c>
      <c r="F2395">
        <v>2393</v>
      </c>
    </row>
    <row r="2396" spans="1:6" x14ac:dyDescent="0.25">
      <c r="A2396" t="s">
        <v>595</v>
      </c>
      <c r="B2396" s="248">
        <v>3295</v>
      </c>
      <c r="C2396" t="s">
        <v>5347</v>
      </c>
      <c r="D2396" t="s">
        <v>3053</v>
      </c>
      <c r="E2396" s="249" t="s">
        <v>3044</v>
      </c>
      <c r="F2396">
        <v>2394</v>
      </c>
    </row>
    <row r="2397" spans="1:6" x14ac:dyDescent="0.25">
      <c r="A2397" t="s">
        <v>596</v>
      </c>
      <c r="B2397" s="248">
        <v>3295</v>
      </c>
      <c r="C2397" t="s">
        <v>5348</v>
      </c>
      <c r="D2397" t="s">
        <v>3053</v>
      </c>
      <c r="E2397" s="249" t="s">
        <v>3044</v>
      </c>
      <c r="F2397">
        <v>2395</v>
      </c>
    </row>
    <row r="2398" spans="1:6" x14ac:dyDescent="0.25">
      <c r="A2398" t="s">
        <v>629</v>
      </c>
      <c r="B2398" s="248">
        <v>467</v>
      </c>
      <c r="C2398" t="s">
        <v>5349</v>
      </c>
      <c r="D2398" t="s">
        <v>3053</v>
      </c>
      <c r="E2398" s="249" t="s">
        <v>3044</v>
      </c>
      <c r="F2398">
        <v>2396</v>
      </c>
    </row>
    <row r="2399" spans="1:6" x14ac:dyDescent="0.25">
      <c r="A2399" t="s">
        <v>275</v>
      </c>
      <c r="B2399" s="248">
        <v>17021</v>
      </c>
      <c r="C2399" t="s">
        <v>5350</v>
      </c>
      <c r="D2399" t="s">
        <v>3053</v>
      </c>
      <c r="E2399" s="249" t="s">
        <v>3043</v>
      </c>
      <c r="F2399">
        <v>2397</v>
      </c>
    </row>
    <row r="2400" spans="1:6" x14ac:dyDescent="0.25">
      <c r="A2400" t="s">
        <v>1842</v>
      </c>
      <c r="B2400" s="248">
        <v>6789</v>
      </c>
      <c r="C2400" t="s">
        <v>5351</v>
      </c>
      <c r="D2400" t="s">
        <v>3053</v>
      </c>
      <c r="E2400" s="249" t="s">
        <v>3049</v>
      </c>
      <c r="F2400">
        <v>2398</v>
      </c>
    </row>
    <row r="2401" spans="1:6" x14ac:dyDescent="0.25">
      <c r="A2401" t="s">
        <v>868</v>
      </c>
      <c r="B2401" s="248">
        <v>3705</v>
      </c>
      <c r="C2401" t="s">
        <v>5352</v>
      </c>
      <c r="D2401" t="s">
        <v>3053</v>
      </c>
      <c r="E2401" s="249" t="s">
        <v>3045</v>
      </c>
      <c r="F2401">
        <v>2399</v>
      </c>
    </row>
    <row r="2402" spans="1:6" x14ac:dyDescent="0.25">
      <c r="A2402" t="s">
        <v>869</v>
      </c>
      <c r="B2402" s="248">
        <v>3705</v>
      </c>
      <c r="C2402" t="s">
        <v>5353</v>
      </c>
      <c r="D2402" t="s">
        <v>3053</v>
      </c>
      <c r="E2402" s="249" t="s">
        <v>3045</v>
      </c>
      <c r="F2402">
        <v>2400</v>
      </c>
    </row>
    <row r="2403" spans="1:6" x14ac:dyDescent="0.25">
      <c r="A2403" t="s">
        <v>1274</v>
      </c>
      <c r="B2403" s="248">
        <v>358</v>
      </c>
      <c r="C2403" t="s">
        <v>5354</v>
      </c>
      <c r="D2403" t="s">
        <v>3053</v>
      </c>
      <c r="E2403" s="249" t="s">
        <v>3047</v>
      </c>
      <c r="F2403">
        <v>2401</v>
      </c>
    </row>
    <row r="2404" spans="1:6" x14ac:dyDescent="0.25">
      <c r="A2404" t="s">
        <v>1276</v>
      </c>
      <c r="B2404" s="248">
        <v>453.5</v>
      </c>
      <c r="C2404" t="s">
        <v>5355</v>
      </c>
      <c r="D2404" t="s">
        <v>3053</v>
      </c>
      <c r="E2404" s="249" t="s">
        <v>3047</v>
      </c>
      <c r="F2404">
        <v>2402</v>
      </c>
    </row>
    <row r="2405" spans="1:6" x14ac:dyDescent="0.25">
      <c r="A2405" t="s">
        <v>1282</v>
      </c>
      <c r="B2405" s="248">
        <v>604.5</v>
      </c>
      <c r="C2405" t="s">
        <v>5356</v>
      </c>
      <c r="D2405" t="s">
        <v>3053</v>
      </c>
      <c r="E2405" s="249" t="s">
        <v>3047</v>
      </c>
      <c r="F2405">
        <v>2403</v>
      </c>
    </row>
    <row r="2406" spans="1:6" x14ac:dyDescent="0.25">
      <c r="A2406" t="s">
        <v>1342</v>
      </c>
      <c r="B2406" s="248">
        <v>541</v>
      </c>
      <c r="C2406" t="s">
        <v>5357</v>
      </c>
      <c r="D2406" t="s">
        <v>3204</v>
      </c>
      <c r="E2406" s="249" t="s">
        <v>3047</v>
      </c>
      <c r="F2406">
        <v>2404</v>
      </c>
    </row>
    <row r="2407" spans="1:6" x14ac:dyDescent="0.25">
      <c r="A2407" t="s">
        <v>1285</v>
      </c>
      <c r="B2407" s="248">
        <v>665.5</v>
      </c>
      <c r="C2407" t="s">
        <v>5358</v>
      </c>
      <c r="D2407" t="s">
        <v>3053</v>
      </c>
      <c r="E2407" s="249" t="s">
        <v>3047</v>
      </c>
      <c r="F2407">
        <v>2405</v>
      </c>
    </row>
    <row r="2408" spans="1:6" x14ac:dyDescent="0.25">
      <c r="A2408" t="s">
        <v>1290</v>
      </c>
      <c r="B2408" s="248">
        <v>1062</v>
      </c>
      <c r="C2408" t="s">
        <v>5359</v>
      </c>
      <c r="D2408" t="s">
        <v>3053</v>
      </c>
      <c r="E2408" s="249" t="s">
        <v>3047</v>
      </c>
      <c r="F2408">
        <v>2406</v>
      </c>
    </row>
    <row r="2409" spans="1:6" x14ac:dyDescent="0.25">
      <c r="A2409" t="s">
        <v>1291</v>
      </c>
      <c r="B2409" s="248">
        <v>1062</v>
      </c>
      <c r="C2409" t="s">
        <v>5360</v>
      </c>
      <c r="D2409" t="s">
        <v>3053</v>
      </c>
      <c r="E2409" s="249" t="s">
        <v>3047</v>
      </c>
      <c r="F2409">
        <v>2407</v>
      </c>
    </row>
    <row r="2410" spans="1:6" x14ac:dyDescent="0.25">
      <c r="A2410" t="s">
        <v>1294</v>
      </c>
      <c r="B2410" s="248">
        <v>1291</v>
      </c>
      <c r="C2410" t="s">
        <v>5361</v>
      </c>
      <c r="D2410" t="s">
        <v>3053</v>
      </c>
      <c r="E2410" s="249" t="s">
        <v>3047</v>
      </c>
      <c r="F2410">
        <v>2408</v>
      </c>
    </row>
    <row r="2411" spans="1:6" x14ac:dyDescent="0.25">
      <c r="A2411" t="s">
        <v>654</v>
      </c>
      <c r="B2411" s="248">
        <v>138</v>
      </c>
      <c r="C2411" t="s">
        <v>5362</v>
      </c>
      <c r="D2411" t="s">
        <v>3053</v>
      </c>
      <c r="E2411" s="249" t="s">
        <v>3045</v>
      </c>
      <c r="F2411">
        <v>2409</v>
      </c>
    </row>
    <row r="2412" spans="1:6" x14ac:dyDescent="0.25">
      <c r="A2412" t="s">
        <v>658</v>
      </c>
      <c r="B2412" s="248">
        <v>138</v>
      </c>
      <c r="C2412" t="s">
        <v>5363</v>
      </c>
      <c r="D2412" t="s">
        <v>3053</v>
      </c>
      <c r="E2412" s="249" t="s">
        <v>3045</v>
      </c>
      <c r="F2412">
        <v>2410</v>
      </c>
    </row>
    <row r="2413" spans="1:6" x14ac:dyDescent="0.25">
      <c r="A2413" t="s">
        <v>1380</v>
      </c>
      <c r="B2413" s="248">
        <v>1525</v>
      </c>
      <c r="C2413" t="s">
        <v>5364</v>
      </c>
      <c r="D2413" t="s">
        <v>3053</v>
      </c>
      <c r="E2413" s="249" t="s">
        <v>3047</v>
      </c>
      <c r="F2413">
        <v>2411</v>
      </c>
    </row>
    <row r="2414" spans="1:6" x14ac:dyDescent="0.25">
      <c r="A2414" t="s">
        <v>1402</v>
      </c>
      <c r="B2414" s="248">
        <v>1385</v>
      </c>
      <c r="C2414" t="s">
        <v>5365</v>
      </c>
      <c r="D2414" t="s">
        <v>3053</v>
      </c>
      <c r="E2414" s="249" t="s">
        <v>3047</v>
      </c>
      <c r="F2414">
        <v>2412</v>
      </c>
    </row>
    <row r="2415" spans="1:6" x14ac:dyDescent="0.25">
      <c r="A2415" t="s">
        <v>1243</v>
      </c>
      <c r="B2415" s="248">
        <v>3848</v>
      </c>
      <c r="C2415" t="s">
        <v>5366</v>
      </c>
      <c r="D2415" t="s">
        <v>3053</v>
      </c>
      <c r="E2415" s="249" t="s">
        <v>3046</v>
      </c>
      <c r="F2415">
        <v>2413</v>
      </c>
    </row>
    <row r="2416" spans="1:6" x14ac:dyDescent="0.25">
      <c r="A2416" t="s">
        <v>965</v>
      </c>
      <c r="B2416" s="248">
        <v>4428</v>
      </c>
      <c r="C2416" t="s">
        <v>5367</v>
      </c>
      <c r="D2416" t="s">
        <v>3053</v>
      </c>
      <c r="E2416" s="249" t="s">
        <v>3045</v>
      </c>
      <c r="F2416">
        <v>2414</v>
      </c>
    </row>
    <row r="2417" spans="1:6" x14ac:dyDescent="0.25">
      <c r="A2417" t="s">
        <v>1176</v>
      </c>
      <c r="B2417" s="248">
        <v>9129</v>
      </c>
      <c r="C2417" t="s">
        <v>5368</v>
      </c>
      <c r="D2417" t="s">
        <v>3053</v>
      </c>
      <c r="E2417" s="249" t="s">
        <v>3046</v>
      </c>
      <c r="F2417">
        <v>2415</v>
      </c>
    </row>
    <row r="2418" spans="1:6" x14ac:dyDescent="0.25">
      <c r="A2418" t="s">
        <v>2755</v>
      </c>
      <c r="B2418" s="248">
        <v>41115</v>
      </c>
      <c r="C2418" t="s">
        <v>5369</v>
      </c>
      <c r="D2418" t="s">
        <v>3056</v>
      </c>
      <c r="E2418" s="249" t="s">
        <v>3028</v>
      </c>
      <c r="F2418">
        <v>2416</v>
      </c>
    </row>
    <row r="2419" spans="1:6" x14ac:dyDescent="0.25">
      <c r="A2419" t="s">
        <v>1458</v>
      </c>
      <c r="B2419" s="248">
        <v>942</v>
      </c>
      <c r="C2419" t="s">
        <v>5370</v>
      </c>
      <c r="D2419" t="s">
        <v>3053</v>
      </c>
      <c r="E2419" s="249" t="s">
        <v>3047</v>
      </c>
      <c r="F2419">
        <v>2417</v>
      </c>
    </row>
    <row r="2420" spans="1:6" x14ac:dyDescent="0.25">
      <c r="A2420" t="s">
        <v>1462</v>
      </c>
      <c r="B2420" s="248">
        <v>894</v>
      </c>
      <c r="C2420" t="s">
        <v>5371</v>
      </c>
      <c r="D2420" t="s">
        <v>3053</v>
      </c>
      <c r="E2420" s="249" t="s">
        <v>3047</v>
      </c>
      <c r="F2420">
        <v>2418</v>
      </c>
    </row>
    <row r="2421" spans="1:6" x14ac:dyDescent="0.25">
      <c r="A2421" t="s">
        <v>1463</v>
      </c>
      <c r="B2421" s="248">
        <v>894</v>
      </c>
      <c r="C2421" t="s">
        <v>5372</v>
      </c>
      <c r="D2421" t="s">
        <v>3053</v>
      </c>
      <c r="E2421" s="249" t="s">
        <v>3047</v>
      </c>
      <c r="F2421">
        <v>2419</v>
      </c>
    </row>
    <row r="2422" spans="1:6" x14ac:dyDescent="0.25">
      <c r="A2422" t="s">
        <v>3042</v>
      </c>
      <c r="B2422" s="248">
        <v>996.5</v>
      </c>
      <c r="C2422" t="s">
        <v>5373</v>
      </c>
      <c r="D2422" t="s">
        <v>3204</v>
      </c>
      <c r="E2422" s="249" t="s">
        <v>3043</v>
      </c>
      <c r="F2422">
        <v>2420</v>
      </c>
    </row>
    <row r="2423" spans="1:6" x14ac:dyDescent="0.25">
      <c r="A2423" t="s">
        <v>1240</v>
      </c>
      <c r="B2423" s="248">
        <v>3659</v>
      </c>
      <c r="C2423" t="s">
        <v>5374</v>
      </c>
      <c r="D2423" t="s">
        <v>3053</v>
      </c>
      <c r="E2423" s="249" t="s">
        <v>3046</v>
      </c>
      <c r="F2423">
        <v>2421</v>
      </c>
    </row>
    <row r="2424" spans="1:6" x14ac:dyDescent="0.25">
      <c r="A2424" t="s">
        <v>1241</v>
      </c>
      <c r="B2424" s="248">
        <v>3659</v>
      </c>
      <c r="C2424" t="s">
        <v>5375</v>
      </c>
      <c r="D2424" t="s">
        <v>3053</v>
      </c>
      <c r="E2424" s="249" t="s">
        <v>3046</v>
      </c>
      <c r="F2424">
        <v>2422</v>
      </c>
    </row>
    <row r="2425" spans="1:6" x14ac:dyDescent="0.25">
      <c r="A2425" t="s">
        <v>1248</v>
      </c>
      <c r="B2425" s="248">
        <v>10311</v>
      </c>
      <c r="C2425" t="s">
        <v>5376</v>
      </c>
      <c r="D2425" t="s">
        <v>3053</v>
      </c>
      <c r="E2425" s="249" t="s">
        <v>3046</v>
      </c>
      <c r="F2425">
        <v>2423</v>
      </c>
    </row>
    <row r="2426" spans="1:6" x14ac:dyDescent="0.25">
      <c r="A2426" t="s">
        <v>1249</v>
      </c>
      <c r="B2426" s="248">
        <v>10828</v>
      </c>
      <c r="C2426" t="s">
        <v>5377</v>
      </c>
      <c r="D2426" t="s">
        <v>3053</v>
      </c>
      <c r="E2426" s="249" t="s">
        <v>3046</v>
      </c>
      <c r="F2426">
        <v>2424</v>
      </c>
    </row>
    <row r="2427" spans="1:6" x14ac:dyDescent="0.25">
      <c r="A2427" t="s">
        <v>1250</v>
      </c>
      <c r="B2427" s="248">
        <v>11232</v>
      </c>
      <c r="C2427" t="s">
        <v>5378</v>
      </c>
      <c r="D2427" t="s">
        <v>3053</v>
      </c>
      <c r="E2427" s="249" t="s">
        <v>3046</v>
      </c>
      <c r="F2427">
        <v>2425</v>
      </c>
    </row>
    <row r="2428" spans="1:6" x14ac:dyDescent="0.25">
      <c r="A2428" t="s">
        <v>1468</v>
      </c>
      <c r="B2428" s="248">
        <v>1505</v>
      </c>
      <c r="C2428" t="s">
        <v>5379</v>
      </c>
      <c r="D2428" t="s">
        <v>3053</v>
      </c>
      <c r="E2428" s="249" t="s">
        <v>3047</v>
      </c>
      <c r="F2428">
        <v>2426</v>
      </c>
    </row>
    <row r="2429" spans="1:6" x14ac:dyDescent="0.25">
      <c r="A2429" t="s">
        <v>1471</v>
      </c>
      <c r="B2429" s="248">
        <v>1859</v>
      </c>
      <c r="C2429" t="s">
        <v>5380</v>
      </c>
      <c r="D2429" t="s">
        <v>3053</v>
      </c>
      <c r="E2429" s="249" t="s">
        <v>3047</v>
      </c>
      <c r="F2429">
        <v>2427</v>
      </c>
    </row>
    <row r="2430" spans="1:6" x14ac:dyDescent="0.25">
      <c r="A2430" t="s">
        <v>1528</v>
      </c>
      <c r="B2430" s="248">
        <v>2492</v>
      </c>
      <c r="C2430" t="s">
        <v>5381</v>
      </c>
      <c r="D2430" t="s">
        <v>3204</v>
      </c>
      <c r="E2430" s="249" t="s">
        <v>3047</v>
      </c>
      <c r="F2430">
        <v>2428</v>
      </c>
    </row>
    <row r="2431" spans="1:6" x14ac:dyDescent="0.25">
      <c r="A2431" t="s">
        <v>1535</v>
      </c>
      <c r="B2431" s="248">
        <v>2492</v>
      </c>
      <c r="C2431" t="s">
        <v>5382</v>
      </c>
      <c r="D2431" t="s">
        <v>3204</v>
      </c>
      <c r="E2431" s="249" t="s">
        <v>3047</v>
      </c>
      <c r="F2431">
        <v>2429</v>
      </c>
    </row>
    <row r="2432" spans="1:6" x14ac:dyDescent="0.25">
      <c r="A2432" t="s">
        <v>1549</v>
      </c>
      <c r="B2432" s="248">
        <v>2492</v>
      </c>
      <c r="C2432" t="s">
        <v>5383</v>
      </c>
      <c r="D2432" t="s">
        <v>3204</v>
      </c>
      <c r="E2432" s="249" t="s">
        <v>3047</v>
      </c>
      <c r="F2432">
        <v>2430</v>
      </c>
    </row>
    <row r="2433" spans="1:6" x14ac:dyDescent="0.25">
      <c r="A2433" t="s">
        <v>1472</v>
      </c>
      <c r="B2433" s="248">
        <v>1859</v>
      </c>
      <c r="C2433" t="s">
        <v>5384</v>
      </c>
      <c r="D2433" t="s">
        <v>3053</v>
      </c>
      <c r="E2433" s="249" t="s">
        <v>3047</v>
      </c>
      <c r="F2433">
        <v>2431</v>
      </c>
    </row>
    <row r="2434" spans="1:6" x14ac:dyDescent="0.25">
      <c r="A2434" t="s">
        <v>1721</v>
      </c>
      <c r="B2434" s="248">
        <v>1531</v>
      </c>
      <c r="C2434" t="s">
        <v>5385</v>
      </c>
      <c r="D2434" t="s">
        <v>3053</v>
      </c>
      <c r="E2434" s="249" t="s">
        <v>3048</v>
      </c>
      <c r="F2434">
        <v>2432</v>
      </c>
    </row>
    <row r="2435" spans="1:6" x14ac:dyDescent="0.25">
      <c r="A2435" t="s">
        <v>1558</v>
      </c>
      <c r="B2435" s="248">
        <v>702.5</v>
      </c>
      <c r="C2435" t="s">
        <v>5386</v>
      </c>
      <c r="D2435" t="s">
        <v>3053</v>
      </c>
      <c r="E2435" s="249" t="s">
        <v>3047</v>
      </c>
      <c r="F2435">
        <v>2433</v>
      </c>
    </row>
    <row r="2436" spans="1:6" x14ac:dyDescent="0.25">
      <c r="A2436" t="s">
        <v>1560</v>
      </c>
      <c r="B2436" s="248">
        <v>845.5</v>
      </c>
      <c r="C2436" t="s">
        <v>5387</v>
      </c>
      <c r="D2436" t="s">
        <v>3053</v>
      </c>
      <c r="E2436" s="249" t="s">
        <v>3047</v>
      </c>
      <c r="F2436">
        <v>2434</v>
      </c>
    </row>
    <row r="2437" spans="1:6" x14ac:dyDescent="0.25">
      <c r="A2437" t="s">
        <v>1561</v>
      </c>
      <c r="B2437" s="248">
        <v>845.5</v>
      </c>
      <c r="C2437" t="s">
        <v>5388</v>
      </c>
      <c r="D2437" t="s">
        <v>3053</v>
      </c>
      <c r="E2437" s="249" t="s">
        <v>3047</v>
      </c>
      <c r="F2437">
        <v>2435</v>
      </c>
    </row>
    <row r="2438" spans="1:6" x14ac:dyDescent="0.25">
      <c r="A2438" t="s">
        <v>1564</v>
      </c>
      <c r="B2438" s="248">
        <v>886.5</v>
      </c>
      <c r="C2438" t="s">
        <v>5389</v>
      </c>
      <c r="D2438" t="s">
        <v>3053</v>
      </c>
      <c r="E2438" s="249" t="s">
        <v>3047</v>
      </c>
      <c r="F2438">
        <v>2436</v>
      </c>
    </row>
    <row r="2439" spans="1:6" x14ac:dyDescent="0.25">
      <c r="A2439" t="s">
        <v>1567</v>
      </c>
      <c r="B2439" s="248">
        <v>1162</v>
      </c>
      <c r="C2439" t="s">
        <v>5390</v>
      </c>
      <c r="D2439" t="s">
        <v>3053</v>
      </c>
      <c r="E2439" s="249" t="s">
        <v>3047</v>
      </c>
      <c r="F2439">
        <v>2437</v>
      </c>
    </row>
    <row r="2440" spans="1:6" x14ac:dyDescent="0.25">
      <c r="A2440" t="s">
        <v>1569</v>
      </c>
      <c r="B2440" s="248">
        <v>2410</v>
      </c>
      <c r="C2440" t="s">
        <v>5391</v>
      </c>
      <c r="D2440" t="s">
        <v>3053</v>
      </c>
      <c r="E2440" s="249" t="s">
        <v>3047</v>
      </c>
      <c r="F2440">
        <v>2438</v>
      </c>
    </row>
    <row r="2441" spans="1:6" x14ac:dyDescent="0.25">
      <c r="A2441" t="s">
        <v>1570</v>
      </c>
      <c r="B2441" s="248">
        <v>2410</v>
      </c>
      <c r="C2441" t="s">
        <v>5392</v>
      </c>
      <c r="D2441" t="s">
        <v>3053</v>
      </c>
      <c r="E2441" s="249" t="s">
        <v>3047</v>
      </c>
      <c r="F2441">
        <v>2439</v>
      </c>
    </row>
    <row r="2442" spans="1:6" x14ac:dyDescent="0.25">
      <c r="A2442" t="s">
        <v>1720</v>
      </c>
      <c r="B2442" s="248">
        <v>1447</v>
      </c>
      <c r="C2442" t="s">
        <v>5393</v>
      </c>
      <c r="D2442" t="s">
        <v>3053</v>
      </c>
      <c r="E2442" s="249" t="s">
        <v>3048</v>
      </c>
      <c r="F2442">
        <v>2440</v>
      </c>
    </row>
    <row r="2443" spans="1:6" x14ac:dyDescent="0.25">
      <c r="A2443" t="s">
        <v>1725</v>
      </c>
      <c r="B2443" s="248">
        <v>4374</v>
      </c>
      <c r="C2443" t="s">
        <v>5394</v>
      </c>
      <c r="D2443" t="s">
        <v>3053</v>
      </c>
      <c r="E2443" s="249" t="s">
        <v>3048</v>
      </c>
      <c r="F2443">
        <v>2441</v>
      </c>
    </row>
    <row r="2444" spans="1:6" x14ac:dyDescent="0.25">
      <c r="A2444" t="s">
        <v>1726</v>
      </c>
      <c r="B2444" s="248">
        <v>5516</v>
      </c>
      <c r="C2444" t="s">
        <v>5395</v>
      </c>
      <c r="D2444" t="s">
        <v>3053</v>
      </c>
      <c r="E2444" s="249" t="s">
        <v>3048</v>
      </c>
      <c r="F2444">
        <v>2442</v>
      </c>
    </row>
    <row r="2445" spans="1:6" x14ac:dyDescent="0.25">
      <c r="A2445" t="s">
        <v>1727</v>
      </c>
      <c r="B2445" s="248">
        <v>7608</v>
      </c>
      <c r="C2445" t="s">
        <v>5396</v>
      </c>
      <c r="D2445" t="s">
        <v>3053</v>
      </c>
      <c r="E2445" s="249" t="s">
        <v>3048</v>
      </c>
      <c r="F2445">
        <v>2443</v>
      </c>
    </row>
    <row r="2446" spans="1:6" x14ac:dyDescent="0.25">
      <c r="A2446" t="s">
        <v>1728</v>
      </c>
      <c r="B2446" s="248">
        <v>11372</v>
      </c>
      <c r="C2446" t="s">
        <v>5397</v>
      </c>
      <c r="D2446" t="s">
        <v>3053</v>
      </c>
      <c r="E2446" s="249" t="s">
        <v>3048</v>
      </c>
      <c r="F2446">
        <v>2444</v>
      </c>
    </row>
    <row r="2447" spans="1:6" x14ac:dyDescent="0.25">
      <c r="A2447" t="s">
        <v>1729</v>
      </c>
      <c r="B2447" s="248">
        <v>21191</v>
      </c>
      <c r="C2447" t="s">
        <v>5398</v>
      </c>
      <c r="D2447" t="s">
        <v>3053</v>
      </c>
      <c r="E2447" s="249" t="s">
        <v>3048</v>
      </c>
      <c r="F2447">
        <v>2445</v>
      </c>
    </row>
    <row r="2448" spans="1:6" x14ac:dyDescent="0.25">
      <c r="A2448" t="s">
        <v>1092</v>
      </c>
      <c r="B2448" s="248">
        <v>285.5</v>
      </c>
      <c r="C2448" t="s">
        <v>5399</v>
      </c>
      <c r="D2448" t="s">
        <v>3053</v>
      </c>
      <c r="E2448" s="249" t="s">
        <v>3046</v>
      </c>
      <c r="F2448">
        <v>2446</v>
      </c>
    </row>
    <row r="2449" spans="1:6" x14ac:dyDescent="0.25">
      <c r="A2449" t="s">
        <v>1093</v>
      </c>
      <c r="B2449" s="248">
        <v>285.5</v>
      </c>
      <c r="C2449" t="s">
        <v>5400</v>
      </c>
      <c r="D2449" t="s">
        <v>3053</v>
      </c>
      <c r="E2449" s="249" t="s">
        <v>3046</v>
      </c>
      <c r="F2449">
        <v>2447</v>
      </c>
    </row>
    <row r="2450" spans="1:6" x14ac:dyDescent="0.25">
      <c r="A2450" t="s">
        <v>1116</v>
      </c>
      <c r="B2450" s="248">
        <v>254.5</v>
      </c>
      <c r="C2450" t="s">
        <v>5401</v>
      </c>
      <c r="D2450" t="s">
        <v>3053</v>
      </c>
      <c r="E2450" s="249" t="s">
        <v>3046</v>
      </c>
      <c r="F2450">
        <v>2448</v>
      </c>
    </row>
    <row r="2451" spans="1:6" x14ac:dyDescent="0.25">
      <c r="A2451" t="s">
        <v>1104</v>
      </c>
      <c r="B2451" s="248">
        <v>654.5</v>
      </c>
      <c r="C2451" t="s">
        <v>5402</v>
      </c>
      <c r="D2451" t="s">
        <v>3053</v>
      </c>
      <c r="E2451" s="249" t="s">
        <v>3046</v>
      </c>
      <c r="F2451">
        <v>2449</v>
      </c>
    </row>
    <row r="2452" spans="1:6" x14ac:dyDescent="0.25">
      <c r="A2452" t="s">
        <v>1107</v>
      </c>
      <c r="B2452" s="248">
        <v>1006</v>
      </c>
      <c r="C2452" t="s">
        <v>5403</v>
      </c>
      <c r="D2452" t="s">
        <v>3053</v>
      </c>
      <c r="E2452" s="249" t="s">
        <v>3046</v>
      </c>
      <c r="F2452">
        <v>2450</v>
      </c>
    </row>
    <row r="2453" spans="1:6" x14ac:dyDescent="0.25">
      <c r="A2453" t="s">
        <v>1398</v>
      </c>
      <c r="B2453" s="248">
        <v>574.5</v>
      </c>
      <c r="C2453" t="s">
        <v>5404</v>
      </c>
      <c r="D2453" t="s">
        <v>3053</v>
      </c>
      <c r="E2453" s="249" t="s">
        <v>3047</v>
      </c>
      <c r="F2453">
        <v>2451</v>
      </c>
    </row>
    <row r="2454" spans="1:6" x14ac:dyDescent="0.25">
      <c r="A2454" t="s">
        <v>1399</v>
      </c>
      <c r="B2454" s="248">
        <v>716.5</v>
      </c>
      <c r="C2454" t="s">
        <v>5405</v>
      </c>
      <c r="D2454" t="s">
        <v>3053</v>
      </c>
      <c r="E2454" s="249" t="s">
        <v>3047</v>
      </c>
      <c r="F2454">
        <v>2452</v>
      </c>
    </row>
    <row r="2455" spans="1:6" x14ac:dyDescent="0.25">
      <c r="A2455" t="s">
        <v>1404</v>
      </c>
      <c r="B2455" s="248">
        <v>2217</v>
      </c>
      <c r="C2455" t="s">
        <v>5406</v>
      </c>
      <c r="D2455" t="s">
        <v>3053</v>
      </c>
      <c r="E2455" s="249" t="s">
        <v>3047</v>
      </c>
      <c r="F2455">
        <v>2453</v>
      </c>
    </row>
    <row r="2456" spans="1:6" x14ac:dyDescent="0.25">
      <c r="A2456" t="s">
        <v>1405</v>
      </c>
      <c r="B2456" s="248">
        <v>3364</v>
      </c>
      <c r="C2456" t="s">
        <v>5407</v>
      </c>
      <c r="D2456" t="s">
        <v>3053</v>
      </c>
      <c r="E2456" s="249" t="s">
        <v>3047</v>
      </c>
      <c r="F2456">
        <v>2454</v>
      </c>
    </row>
    <row r="2457" spans="1:6" x14ac:dyDescent="0.25">
      <c r="A2457" t="s">
        <v>1407</v>
      </c>
      <c r="B2457" s="248">
        <v>7762</v>
      </c>
      <c r="C2457" t="s">
        <v>5408</v>
      </c>
      <c r="D2457" t="s">
        <v>3053</v>
      </c>
      <c r="E2457" s="249" t="s">
        <v>3047</v>
      </c>
      <c r="F2457">
        <v>2455</v>
      </c>
    </row>
    <row r="2458" spans="1:6" x14ac:dyDescent="0.25">
      <c r="A2458" t="s">
        <v>1408</v>
      </c>
      <c r="B2458" s="248">
        <v>17049</v>
      </c>
      <c r="C2458" t="s">
        <v>5409</v>
      </c>
      <c r="D2458" t="s">
        <v>3053</v>
      </c>
      <c r="E2458" s="249" t="s">
        <v>3047</v>
      </c>
      <c r="F2458">
        <v>2456</v>
      </c>
    </row>
    <row r="2459" spans="1:6" x14ac:dyDescent="0.25">
      <c r="A2459" t="s">
        <v>1906</v>
      </c>
      <c r="B2459" s="248">
        <v>15053</v>
      </c>
      <c r="C2459" t="s">
        <v>5410</v>
      </c>
      <c r="D2459" t="s">
        <v>3053</v>
      </c>
      <c r="E2459" s="249" t="s">
        <v>3001</v>
      </c>
      <c r="F2459">
        <v>2457</v>
      </c>
    </row>
    <row r="2460" spans="1:6" x14ac:dyDescent="0.25">
      <c r="A2460" t="s">
        <v>2319</v>
      </c>
      <c r="B2460" s="248">
        <v>2490</v>
      </c>
      <c r="C2460" t="s">
        <v>5411</v>
      </c>
      <c r="D2460" t="s">
        <v>3241</v>
      </c>
      <c r="E2460" s="249" t="s">
        <v>3020</v>
      </c>
      <c r="F2460">
        <v>2458</v>
      </c>
    </row>
    <row r="2461" spans="1:6" x14ac:dyDescent="0.25">
      <c r="A2461" t="s">
        <v>2404</v>
      </c>
      <c r="B2461" s="248">
        <v>1866</v>
      </c>
      <c r="C2461" t="s">
        <v>5412</v>
      </c>
      <c r="D2461" t="s">
        <v>3241</v>
      </c>
      <c r="E2461" s="249" t="s">
        <v>3020</v>
      </c>
      <c r="F2461">
        <v>2459</v>
      </c>
    </row>
    <row r="2462" spans="1:6" x14ac:dyDescent="0.25">
      <c r="A2462" t="s">
        <v>2058</v>
      </c>
      <c r="B2462" s="248">
        <v>1028</v>
      </c>
      <c r="C2462" t="s">
        <v>5413</v>
      </c>
      <c r="D2462" t="s">
        <v>3204</v>
      </c>
      <c r="E2462" s="249" t="s">
        <v>3001</v>
      </c>
      <c r="F2462">
        <v>2460</v>
      </c>
    </row>
    <row r="2463" spans="1:6" x14ac:dyDescent="0.25">
      <c r="A2463" t="s">
        <v>2048</v>
      </c>
      <c r="B2463" s="248">
        <v>503.5</v>
      </c>
      <c r="C2463" t="s">
        <v>5414</v>
      </c>
      <c r="D2463" t="s">
        <v>3204</v>
      </c>
      <c r="E2463" s="249" t="s">
        <v>3001</v>
      </c>
      <c r="F2463">
        <v>2461</v>
      </c>
    </row>
    <row r="2464" spans="1:6" x14ac:dyDescent="0.25">
      <c r="A2464" t="s">
        <v>2036</v>
      </c>
      <c r="B2464" s="248">
        <v>503.5</v>
      </c>
      <c r="C2464" t="s">
        <v>5415</v>
      </c>
      <c r="D2464" t="s">
        <v>3204</v>
      </c>
      <c r="E2464" s="249" t="s">
        <v>3001</v>
      </c>
      <c r="F2464">
        <v>2462</v>
      </c>
    </row>
    <row r="2465" spans="1:6" x14ac:dyDescent="0.25">
      <c r="A2465" t="s">
        <v>2059</v>
      </c>
      <c r="B2465" s="248">
        <v>1780</v>
      </c>
      <c r="C2465" t="s">
        <v>5416</v>
      </c>
      <c r="D2465" t="s">
        <v>3204</v>
      </c>
      <c r="E2465" s="249" t="s">
        <v>3001</v>
      </c>
      <c r="F2465">
        <v>2463</v>
      </c>
    </row>
    <row r="2466" spans="1:6" x14ac:dyDescent="0.25">
      <c r="A2466" t="s">
        <v>2017</v>
      </c>
      <c r="B2466" s="248">
        <v>1163</v>
      </c>
      <c r="C2466" t="s">
        <v>5417</v>
      </c>
      <c r="D2466" t="s">
        <v>3204</v>
      </c>
      <c r="E2466" s="249" t="s">
        <v>3001</v>
      </c>
      <c r="F2466">
        <v>2464</v>
      </c>
    </row>
    <row r="2467" spans="1:6" x14ac:dyDescent="0.25">
      <c r="A2467" t="s">
        <v>2025</v>
      </c>
      <c r="B2467" s="248">
        <v>192.5</v>
      </c>
      <c r="C2467" t="s">
        <v>5418</v>
      </c>
      <c r="D2467" t="s">
        <v>3204</v>
      </c>
      <c r="E2467" s="249" t="s">
        <v>3001</v>
      </c>
      <c r="F2467">
        <v>2465</v>
      </c>
    </row>
    <row r="2468" spans="1:6" x14ac:dyDescent="0.25">
      <c r="A2468" t="s">
        <v>2049</v>
      </c>
      <c r="B2468" s="248">
        <v>503.5</v>
      </c>
      <c r="C2468" t="s">
        <v>5419</v>
      </c>
      <c r="D2468" t="s">
        <v>3204</v>
      </c>
      <c r="E2468" s="249" t="s">
        <v>3001</v>
      </c>
      <c r="F2468">
        <v>2466</v>
      </c>
    </row>
    <row r="2469" spans="1:6" x14ac:dyDescent="0.25">
      <c r="A2469" t="s">
        <v>2037</v>
      </c>
      <c r="B2469" s="248">
        <v>503.5</v>
      </c>
      <c r="C2469" t="s">
        <v>5420</v>
      </c>
      <c r="D2469" t="s">
        <v>3204</v>
      </c>
      <c r="E2469" s="249" t="s">
        <v>3001</v>
      </c>
      <c r="F2469">
        <v>2467</v>
      </c>
    </row>
    <row r="2470" spans="1:6" x14ac:dyDescent="0.25">
      <c r="A2470" t="s">
        <v>2029</v>
      </c>
      <c r="B2470" s="248">
        <v>1246</v>
      </c>
      <c r="C2470" t="s">
        <v>5421</v>
      </c>
      <c r="D2470" t="s">
        <v>3204</v>
      </c>
      <c r="E2470" s="249" t="s">
        <v>3001</v>
      </c>
      <c r="F2470">
        <v>2468</v>
      </c>
    </row>
    <row r="2471" spans="1:6" x14ac:dyDescent="0.25">
      <c r="A2471" t="s">
        <v>2030</v>
      </c>
      <c r="B2471" s="248">
        <v>1246</v>
      </c>
      <c r="C2471" t="s">
        <v>5422</v>
      </c>
      <c r="D2471" t="s">
        <v>3204</v>
      </c>
      <c r="E2471" s="249" t="s">
        <v>3001</v>
      </c>
      <c r="F2471">
        <v>2469</v>
      </c>
    </row>
    <row r="2472" spans="1:6" x14ac:dyDescent="0.25">
      <c r="A2472" t="s">
        <v>2031</v>
      </c>
      <c r="B2472" s="248">
        <v>1246</v>
      </c>
      <c r="C2472" t="s">
        <v>5423</v>
      </c>
      <c r="D2472" t="s">
        <v>3204</v>
      </c>
      <c r="E2472" s="249" t="s">
        <v>3001</v>
      </c>
      <c r="F2472">
        <v>2470</v>
      </c>
    </row>
    <row r="2473" spans="1:6" x14ac:dyDescent="0.25">
      <c r="A2473" t="s">
        <v>2032</v>
      </c>
      <c r="B2473" s="248">
        <v>2078</v>
      </c>
      <c r="C2473" t="s">
        <v>5424</v>
      </c>
      <c r="D2473" t="s">
        <v>3204</v>
      </c>
      <c r="E2473" s="249" t="s">
        <v>3001</v>
      </c>
      <c r="F2473">
        <v>2471</v>
      </c>
    </row>
    <row r="2474" spans="1:6" x14ac:dyDescent="0.25">
      <c r="A2474" t="s">
        <v>2033</v>
      </c>
      <c r="B2474" s="248">
        <v>2078</v>
      </c>
      <c r="C2474" t="s">
        <v>5425</v>
      </c>
      <c r="D2474" t="s">
        <v>3204</v>
      </c>
      <c r="E2474" s="249" t="s">
        <v>3001</v>
      </c>
      <c r="F2474">
        <v>2472</v>
      </c>
    </row>
    <row r="2475" spans="1:6" x14ac:dyDescent="0.25">
      <c r="A2475" t="s">
        <v>1089</v>
      </c>
      <c r="B2475" s="248">
        <v>285.5</v>
      </c>
      <c r="C2475" t="s">
        <v>5426</v>
      </c>
      <c r="D2475" t="s">
        <v>3053</v>
      </c>
      <c r="E2475" s="249" t="s">
        <v>3046</v>
      </c>
      <c r="F2475">
        <v>2473</v>
      </c>
    </row>
    <row r="2476" spans="1:6" x14ac:dyDescent="0.25">
      <c r="A2476" t="s">
        <v>1090</v>
      </c>
      <c r="B2476" s="248">
        <v>285.5</v>
      </c>
      <c r="C2476" t="s">
        <v>5427</v>
      </c>
      <c r="D2476" t="s">
        <v>3053</v>
      </c>
      <c r="E2476" s="249" t="s">
        <v>3046</v>
      </c>
      <c r="F2476">
        <v>2474</v>
      </c>
    </row>
    <row r="2477" spans="1:6" x14ac:dyDescent="0.25">
      <c r="A2477" t="s">
        <v>1115</v>
      </c>
      <c r="B2477" s="248">
        <v>254.5</v>
      </c>
      <c r="C2477" t="s">
        <v>5428</v>
      </c>
      <c r="D2477" t="s">
        <v>3053</v>
      </c>
      <c r="E2477" s="249" t="s">
        <v>3046</v>
      </c>
      <c r="F2477">
        <v>2475</v>
      </c>
    </row>
    <row r="2478" spans="1:6" x14ac:dyDescent="0.25">
      <c r="A2478" t="s">
        <v>2018</v>
      </c>
      <c r="B2478" s="248">
        <v>2243</v>
      </c>
      <c r="C2478" t="s">
        <v>5429</v>
      </c>
      <c r="D2478" t="s">
        <v>3204</v>
      </c>
      <c r="E2478" s="249" t="s">
        <v>3001</v>
      </c>
      <c r="F2478">
        <v>2476</v>
      </c>
    </row>
    <row r="2479" spans="1:6" x14ac:dyDescent="0.25">
      <c r="A2479" t="s">
        <v>2060</v>
      </c>
      <c r="B2479" s="248">
        <v>3123</v>
      </c>
      <c r="C2479" t="s">
        <v>5430</v>
      </c>
      <c r="D2479" t="s">
        <v>3204</v>
      </c>
      <c r="E2479" s="249" t="s">
        <v>3001</v>
      </c>
      <c r="F2479">
        <v>2477</v>
      </c>
    </row>
    <row r="2480" spans="1:6" x14ac:dyDescent="0.25">
      <c r="A2480" t="s">
        <v>2020</v>
      </c>
      <c r="B2480" s="248">
        <v>3654</v>
      </c>
      <c r="C2480" t="s">
        <v>5431</v>
      </c>
      <c r="D2480" t="s">
        <v>3204</v>
      </c>
      <c r="E2480" s="249" t="s">
        <v>3001</v>
      </c>
      <c r="F2480">
        <v>2478</v>
      </c>
    </row>
    <row r="2481" spans="1:6" x14ac:dyDescent="0.25">
      <c r="A2481" t="s">
        <v>2061</v>
      </c>
      <c r="B2481" s="248">
        <v>2860</v>
      </c>
      <c r="C2481" t="s">
        <v>5432</v>
      </c>
      <c r="D2481" t="s">
        <v>3204</v>
      </c>
      <c r="E2481" s="249" t="s">
        <v>3001</v>
      </c>
      <c r="F2481">
        <v>2479</v>
      </c>
    </row>
    <row r="2482" spans="1:6" x14ac:dyDescent="0.25">
      <c r="A2482" t="s">
        <v>2062</v>
      </c>
      <c r="B2482" s="248">
        <v>5633</v>
      </c>
      <c r="C2482" t="s">
        <v>5433</v>
      </c>
      <c r="D2482" t="s">
        <v>3204</v>
      </c>
      <c r="E2482" s="249" t="s">
        <v>3001</v>
      </c>
      <c r="F2482">
        <v>2480</v>
      </c>
    </row>
    <row r="2483" spans="1:6" x14ac:dyDescent="0.25">
      <c r="A2483" t="s">
        <v>2021</v>
      </c>
      <c r="B2483" s="248">
        <v>4982</v>
      </c>
      <c r="C2483" t="s">
        <v>5434</v>
      </c>
      <c r="D2483" t="s">
        <v>3204</v>
      </c>
      <c r="E2483" s="249" t="s">
        <v>3001</v>
      </c>
      <c r="F2483">
        <v>2481</v>
      </c>
    </row>
    <row r="2484" spans="1:6" x14ac:dyDescent="0.25">
      <c r="A2484" t="s">
        <v>2063</v>
      </c>
      <c r="B2484" s="248">
        <v>7843</v>
      </c>
      <c r="C2484" t="s">
        <v>5435</v>
      </c>
      <c r="D2484" t="s">
        <v>3204</v>
      </c>
      <c r="E2484" s="249" t="s">
        <v>3001</v>
      </c>
      <c r="F2484">
        <v>2482</v>
      </c>
    </row>
    <row r="2485" spans="1:6" x14ac:dyDescent="0.25">
      <c r="A2485" t="s">
        <v>2039</v>
      </c>
      <c r="B2485" s="248">
        <v>1006</v>
      </c>
      <c r="C2485" t="s">
        <v>5436</v>
      </c>
      <c r="D2485" t="s">
        <v>3204</v>
      </c>
      <c r="E2485" s="249" t="s">
        <v>3001</v>
      </c>
      <c r="F2485">
        <v>2483</v>
      </c>
    </row>
    <row r="2486" spans="1:6" x14ac:dyDescent="0.25">
      <c r="A2486" t="s">
        <v>2051</v>
      </c>
      <c r="B2486" s="248">
        <v>1006</v>
      </c>
      <c r="C2486" t="s">
        <v>5437</v>
      </c>
      <c r="D2486" t="s">
        <v>3204</v>
      </c>
      <c r="E2486" s="249" t="s">
        <v>3001</v>
      </c>
      <c r="F2486">
        <v>2484</v>
      </c>
    </row>
    <row r="2487" spans="1:6" x14ac:dyDescent="0.25">
      <c r="A2487" t="s">
        <v>2052</v>
      </c>
      <c r="B2487" s="248">
        <v>1372</v>
      </c>
      <c r="C2487" t="s">
        <v>5438</v>
      </c>
      <c r="D2487" t="s">
        <v>3204</v>
      </c>
      <c r="E2487" s="249" t="s">
        <v>3001</v>
      </c>
      <c r="F2487">
        <v>2485</v>
      </c>
    </row>
    <row r="2488" spans="1:6" x14ac:dyDescent="0.25">
      <c r="A2488" t="s">
        <v>2834</v>
      </c>
      <c r="B2488" s="248">
        <v>316</v>
      </c>
      <c r="C2488" t="s">
        <v>5439</v>
      </c>
      <c r="D2488" t="s">
        <v>3204</v>
      </c>
      <c r="E2488" s="249" t="s">
        <v>3043</v>
      </c>
      <c r="F2488">
        <v>2486</v>
      </c>
    </row>
    <row r="2489" spans="1:6" x14ac:dyDescent="0.25">
      <c r="A2489" t="s">
        <v>388</v>
      </c>
      <c r="B2489" s="248">
        <v>1754</v>
      </c>
      <c r="C2489" t="s">
        <v>5440</v>
      </c>
      <c r="D2489" t="s">
        <v>3053</v>
      </c>
      <c r="E2489" s="249" t="s">
        <v>3043</v>
      </c>
      <c r="F2489">
        <v>2487</v>
      </c>
    </row>
    <row r="2490" spans="1:6" x14ac:dyDescent="0.25">
      <c r="A2490" t="s">
        <v>2840</v>
      </c>
      <c r="B2490" s="248">
        <v>316</v>
      </c>
      <c r="C2490" t="s">
        <v>5441</v>
      </c>
      <c r="D2490" t="s">
        <v>3204</v>
      </c>
      <c r="E2490" s="249" t="s">
        <v>3043</v>
      </c>
      <c r="F2490">
        <v>2488</v>
      </c>
    </row>
    <row r="2491" spans="1:6" x14ac:dyDescent="0.25">
      <c r="A2491" t="s">
        <v>2053</v>
      </c>
      <c r="B2491" s="248">
        <v>1372</v>
      </c>
      <c r="C2491" t="s">
        <v>5442</v>
      </c>
      <c r="D2491" t="s">
        <v>3204</v>
      </c>
      <c r="E2491" s="249" t="s">
        <v>3001</v>
      </c>
      <c r="F2491">
        <v>2489</v>
      </c>
    </row>
    <row r="2492" spans="1:6" x14ac:dyDescent="0.25">
      <c r="A2492" t="s">
        <v>2054</v>
      </c>
      <c r="B2492" s="248">
        <v>1828</v>
      </c>
      <c r="C2492" t="s">
        <v>5443</v>
      </c>
      <c r="D2492" t="s">
        <v>3204</v>
      </c>
      <c r="E2492" s="249" t="s">
        <v>3001</v>
      </c>
      <c r="F2492">
        <v>2490</v>
      </c>
    </row>
    <row r="2493" spans="1:6" x14ac:dyDescent="0.25">
      <c r="A2493" t="s">
        <v>2055</v>
      </c>
      <c r="B2493" s="248">
        <v>1828</v>
      </c>
      <c r="C2493" t="s">
        <v>5444</v>
      </c>
      <c r="D2493" t="s">
        <v>3204</v>
      </c>
      <c r="E2493" s="249" t="s">
        <v>3001</v>
      </c>
      <c r="F2493">
        <v>2491</v>
      </c>
    </row>
    <row r="2494" spans="1:6" x14ac:dyDescent="0.25">
      <c r="A2494" t="s">
        <v>2056</v>
      </c>
      <c r="B2494" s="248">
        <v>2743</v>
      </c>
      <c r="C2494" t="s">
        <v>5445</v>
      </c>
      <c r="D2494" t="s">
        <v>3204</v>
      </c>
      <c r="E2494" s="249" t="s">
        <v>3001</v>
      </c>
      <c r="F2494">
        <v>2492</v>
      </c>
    </row>
    <row r="2495" spans="1:6" x14ac:dyDescent="0.25">
      <c r="A2495" t="s">
        <v>2057</v>
      </c>
      <c r="B2495" s="248">
        <v>2743</v>
      </c>
      <c r="C2495" t="s">
        <v>5446</v>
      </c>
      <c r="D2495" t="s">
        <v>3204</v>
      </c>
      <c r="E2495" s="249" t="s">
        <v>3001</v>
      </c>
      <c r="F2495">
        <v>2493</v>
      </c>
    </row>
    <row r="2496" spans="1:6" x14ac:dyDescent="0.25">
      <c r="A2496" t="s">
        <v>2041</v>
      </c>
      <c r="B2496" s="248">
        <v>1372</v>
      </c>
      <c r="C2496" t="s">
        <v>5447</v>
      </c>
      <c r="D2496" t="s">
        <v>3204</v>
      </c>
      <c r="E2496" s="249" t="s">
        <v>3001</v>
      </c>
      <c r="F2496">
        <v>2494</v>
      </c>
    </row>
    <row r="2497" spans="1:6" x14ac:dyDescent="0.25">
      <c r="A2497" t="s">
        <v>2042</v>
      </c>
      <c r="B2497" s="248">
        <v>1828</v>
      </c>
      <c r="C2497" t="s">
        <v>5448</v>
      </c>
      <c r="D2497" t="s">
        <v>3204</v>
      </c>
      <c r="E2497" s="249" t="s">
        <v>3001</v>
      </c>
      <c r="F2497">
        <v>2495</v>
      </c>
    </row>
    <row r="2498" spans="1:6" x14ac:dyDescent="0.25">
      <c r="A2498" t="s">
        <v>2043</v>
      </c>
      <c r="B2498" s="248">
        <v>1828</v>
      </c>
      <c r="C2498" t="s">
        <v>5449</v>
      </c>
      <c r="D2498" t="s">
        <v>3204</v>
      </c>
      <c r="E2498" s="249" t="s">
        <v>3001</v>
      </c>
      <c r="F2498">
        <v>2496</v>
      </c>
    </row>
    <row r="2499" spans="1:6" x14ac:dyDescent="0.25">
      <c r="A2499" t="s">
        <v>2044</v>
      </c>
      <c r="B2499" s="248">
        <v>2743</v>
      </c>
      <c r="C2499" t="s">
        <v>5450</v>
      </c>
      <c r="D2499" t="s">
        <v>3204</v>
      </c>
      <c r="E2499" s="249" t="s">
        <v>3001</v>
      </c>
      <c r="F2499">
        <v>2497</v>
      </c>
    </row>
    <row r="2500" spans="1:6" x14ac:dyDescent="0.25">
      <c r="A2500" t="s">
        <v>2045</v>
      </c>
      <c r="B2500" s="248">
        <v>2743</v>
      </c>
      <c r="C2500" t="s">
        <v>5451</v>
      </c>
      <c r="D2500" t="s">
        <v>3204</v>
      </c>
      <c r="E2500" s="249" t="s">
        <v>3001</v>
      </c>
      <c r="F2500">
        <v>2498</v>
      </c>
    </row>
    <row r="2501" spans="1:6" x14ac:dyDescent="0.25">
      <c r="A2501" t="s">
        <v>510</v>
      </c>
      <c r="B2501" s="248">
        <v>1404</v>
      </c>
      <c r="C2501" t="s">
        <v>5452</v>
      </c>
      <c r="D2501" t="s">
        <v>3053</v>
      </c>
      <c r="E2501" s="249" t="s">
        <v>3044</v>
      </c>
      <c r="F2501">
        <v>2499</v>
      </c>
    </row>
    <row r="2502" spans="1:6" x14ac:dyDescent="0.25">
      <c r="A2502" t="s">
        <v>511</v>
      </c>
      <c r="B2502" s="248">
        <v>1404</v>
      </c>
      <c r="C2502" t="s">
        <v>5453</v>
      </c>
      <c r="D2502" t="s">
        <v>3053</v>
      </c>
      <c r="E2502" s="249" t="s">
        <v>3044</v>
      </c>
      <c r="F2502">
        <v>2500</v>
      </c>
    </row>
    <row r="2503" spans="1:6" x14ac:dyDescent="0.25">
      <c r="A2503" t="s">
        <v>514</v>
      </c>
      <c r="B2503" s="248">
        <v>2839</v>
      </c>
      <c r="C2503" t="s">
        <v>5454</v>
      </c>
      <c r="D2503" t="s">
        <v>3053</v>
      </c>
      <c r="E2503" s="249" t="s">
        <v>3044</v>
      </c>
      <c r="F2503">
        <v>2501</v>
      </c>
    </row>
    <row r="2504" spans="1:6" x14ac:dyDescent="0.25">
      <c r="A2504" t="s">
        <v>631</v>
      </c>
      <c r="B2504" s="248">
        <v>1404</v>
      </c>
      <c r="C2504" t="s">
        <v>5455</v>
      </c>
      <c r="D2504" t="s">
        <v>3053</v>
      </c>
      <c r="E2504" s="249" t="s">
        <v>3044</v>
      </c>
      <c r="F2504">
        <v>2502</v>
      </c>
    </row>
    <row r="2505" spans="1:6" x14ac:dyDescent="0.25">
      <c r="A2505" t="s">
        <v>632</v>
      </c>
      <c r="B2505" s="248">
        <v>1404</v>
      </c>
      <c r="C2505" t="s">
        <v>5456</v>
      </c>
      <c r="D2505" t="s">
        <v>3053</v>
      </c>
      <c r="E2505" s="249" t="s">
        <v>3044</v>
      </c>
      <c r="F2505">
        <v>2503</v>
      </c>
    </row>
    <row r="2506" spans="1:6" x14ac:dyDescent="0.25">
      <c r="A2506" t="s">
        <v>513</v>
      </c>
      <c r="B2506" s="248">
        <v>2839</v>
      </c>
      <c r="C2506" t="s">
        <v>5457</v>
      </c>
      <c r="D2506" t="s">
        <v>3053</v>
      </c>
      <c r="E2506" s="249" t="s">
        <v>3044</v>
      </c>
      <c r="F2506">
        <v>2504</v>
      </c>
    </row>
    <row r="2507" spans="1:6" x14ac:dyDescent="0.25">
      <c r="A2507" t="s">
        <v>634</v>
      </c>
      <c r="B2507" s="248">
        <v>2839</v>
      </c>
      <c r="C2507" t="s">
        <v>5458</v>
      </c>
      <c r="D2507" t="s">
        <v>3053</v>
      </c>
      <c r="E2507" s="249" t="s">
        <v>3044</v>
      </c>
      <c r="F2507">
        <v>2505</v>
      </c>
    </row>
    <row r="2508" spans="1:6" x14ac:dyDescent="0.25">
      <c r="A2508" t="s">
        <v>635</v>
      </c>
      <c r="B2508" s="248">
        <v>2839</v>
      </c>
      <c r="C2508" t="s">
        <v>5459</v>
      </c>
      <c r="D2508" t="s">
        <v>3053</v>
      </c>
      <c r="E2508" s="249" t="s">
        <v>3044</v>
      </c>
      <c r="F2508">
        <v>2506</v>
      </c>
    </row>
    <row r="2509" spans="1:6" x14ac:dyDescent="0.25">
      <c r="A2509" t="s">
        <v>3037</v>
      </c>
      <c r="B2509" s="248">
        <v>3504</v>
      </c>
      <c r="C2509" t="s">
        <v>5460</v>
      </c>
      <c r="D2509" t="s">
        <v>3053</v>
      </c>
      <c r="E2509" s="249" t="s">
        <v>3046</v>
      </c>
      <c r="F2509">
        <v>2507</v>
      </c>
    </row>
    <row r="2510" spans="1:6" x14ac:dyDescent="0.25">
      <c r="A2510" t="s">
        <v>1806</v>
      </c>
      <c r="B2510" s="248">
        <v>2969</v>
      </c>
      <c r="C2510" t="s">
        <v>5461</v>
      </c>
      <c r="D2510" t="s">
        <v>3053</v>
      </c>
      <c r="E2510" s="249" t="s">
        <v>3049</v>
      </c>
      <c r="F2510">
        <v>2508</v>
      </c>
    </row>
    <row r="2511" spans="1:6" x14ac:dyDescent="0.25">
      <c r="A2511" t="s">
        <v>991</v>
      </c>
      <c r="B2511" s="248">
        <v>1595</v>
      </c>
      <c r="C2511" t="s">
        <v>5462</v>
      </c>
      <c r="D2511" t="s">
        <v>3053</v>
      </c>
      <c r="E2511" s="249" t="s">
        <v>3045</v>
      </c>
      <c r="F2511">
        <v>2509</v>
      </c>
    </row>
    <row r="2512" spans="1:6" x14ac:dyDescent="0.25">
      <c r="A2512" t="s">
        <v>1044</v>
      </c>
      <c r="B2512" s="248">
        <v>26547</v>
      </c>
      <c r="C2512" t="s">
        <v>5463</v>
      </c>
      <c r="D2512" t="s">
        <v>3053</v>
      </c>
      <c r="E2512" s="249" t="s">
        <v>3045</v>
      </c>
      <c r="F2512">
        <v>2510</v>
      </c>
    </row>
    <row r="2513" spans="1:6" x14ac:dyDescent="0.25">
      <c r="A2513" t="s">
        <v>543</v>
      </c>
      <c r="B2513" s="248">
        <v>88.5</v>
      </c>
      <c r="C2513" t="s">
        <v>5464</v>
      </c>
      <c r="D2513" t="s">
        <v>3204</v>
      </c>
      <c r="E2513" s="249" t="s">
        <v>3044</v>
      </c>
      <c r="F2513">
        <v>2511</v>
      </c>
    </row>
    <row r="2514" spans="1:6" x14ac:dyDescent="0.25">
      <c r="A2514" t="s">
        <v>2550</v>
      </c>
      <c r="B2514" s="248">
        <v>35713</v>
      </c>
      <c r="C2514" t="s">
        <v>5465</v>
      </c>
      <c r="D2514" t="s">
        <v>3817</v>
      </c>
      <c r="E2514" s="249" t="s">
        <v>3050</v>
      </c>
      <c r="F2514">
        <v>2512</v>
      </c>
    </row>
    <row r="2515" spans="1:6" x14ac:dyDescent="0.25">
      <c r="A2515" t="s">
        <v>888</v>
      </c>
      <c r="B2515" s="248">
        <v>1057</v>
      </c>
      <c r="C2515" t="s">
        <v>5466</v>
      </c>
      <c r="D2515" t="s">
        <v>3053</v>
      </c>
      <c r="E2515" s="249" t="s">
        <v>3045</v>
      </c>
      <c r="F2515">
        <v>2513</v>
      </c>
    </row>
    <row r="2516" spans="1:6" x14ac:dyDescent="0.25">
      <c r="A2516" t="s">
        <v>1188</v>
      </c>
      <c r="B2516" s="248">
        <v>22301</v>
      </c>
      <c r="C2516" t="s">
        <v>5467</v>
      </c>
      <c r="D2516" t="s">
        <v>3053</v>
      </c>
      <c r="E2516" s="249" t="s">
        <v>3046</v>
      </c>
      <c r="F2516">
        <v>2514</v>
      </c>
    </row>
    <row r="2517" spans="1:6" x14ac:dyDescent="0.25">
      <c r="A2517" t="s">
        <v>2825</v>
      </c>
      <c r="B2517" s="248">
        <v>93.5</v>
      </c>
      <c r="C2517" t="s">
        <v>5468</v>
      </c>
      <c r="D2517" t="s">
        <v>3204</v>
      </c>
      <c r="E2517" s="249" t="s">
        <v>3043</v>
      </c>
      <c r="F2517">
        <v>2515</v>
      </c>
    </row>
    <row r="2518" spans="1:6" x14ac:dyDescent="0.25">
      <c r="A2518" t="s">
        <v>202</v>
      </c>
      <c r="B2518" s="248">
        <v>3198</v>
      </c>
      <c r="C2518" t="s">
        <v>5469</v>
      </c>
      <c r="D2518" t="s">
        <v>3053</v>
      </c>
      <c r="E2518" s="249" t="s">
        <v>3043</v>
      </c>
      <c r="F2518">
        <v>2516</v>
      </c>
    </row>
    <row r="2519" spans="1:6" x14ac:dyDescent="0.25">
      <c r="A2519" t="s">
        <v>1261</v>
      </c>
      <c r="B2519" s="248">
        <v>3393</v>
      </c>
      <c r="C2519" t="s">
        <v>5470</v>
      </c>
      <c r="D2519" t="s">
        <v>3053</v>
      </c>
      <c r="E2519" s="249" t="s">
        <v>3046</v>
      </c>
      <c r="F2519">
        <v>2517</v>
      </c>
    </row>
    <row r="2520" spans="1:6" x14ac:dyDescent="0.25">
      <c r="A2520" t="s">
        <v>446</v>
      </c>
      <c r="B2520" s="248">
        <v>1246</v>
      </c>
      <c r="C2520" t="s">
        <v>5471</v>
      </c>
      <c r="D2520" t="s">
        <v>3204</v>
      </c>
      <c r="E2520" s="249" t="s">
        <v>3043</v>
      </c>
      <c r="F2520">
        <v>2518</v>
      </c>
    </row>
    <row r="2521" spans="1:6" x14ac:dyDescent="0.25">
      <c r="A2521" t="s">
        <v>2740</v>
      </c>
      <c r="B2521" s="248">
        <v>7459</v>
      </c>
      <c r="C2521" t="s">
        <v>5472</v>
      </c>
      <c r="D2521" t="s">
        <v>3056</v>
      </c>
      <c r="E2521" s="249" t="s">
        <v>3028</v>
      </c>
      <c r="F2521">
        <v>2519</v>
      </c>
    </row>
    <row r="2522" spans="1:6" x14ac:dyDescent="0.25">
      <c r="A2522" t="s">
        <v>2409</v>
      </c>
      <c r="B2522" s="248">
        <v>14823</v>
      </c>
      <c r="C2522" t="s">
        <v>5473</v>
      </c>
      <c r="D2522" t="s">
        <v>3241</v>
      </c>
      <c r="E2522" s="249" t="s">
        <v>3020</v>
      </c>
      <c r="F2522">
        <v>2520</v>
      </c>
    </row>
    <row r="2523" spans="1:6" x14ac:dyDescent="0.25">
      <c r="A2523" t="s">
        <v>552</v>
      </c>
      <c r="B2523" s="248">
        <v>88.5</v>
      </c>
      <c r="C2523" t="s">
        <v>5474</v>
      </c>
      <c r="D2523" t="s">
        <v>3204</v>
      </c>
      <c r="E2523" s="249" t="s">
        <v>3044</v>
      </c>
      <c r="F2523">
        <v>2521</v>
      </c>
    </row>
    <row r="2524" spans="1:6" x14ac:dyDescent="0.25">
      <c r="A2524" t="s">
        <v>219</v>
      </c>
      <c r="B2524" s="248">
        <v>489.5</v>
      </c>
      <c r="C2524" t="s">
        <v>5475</v>
      </c>
      <c r="D2524" t="s">
        <v>3053</v>
      </c>
      <c r="E2524" s="249" t="s">
        <v>3043</v>
      </c>
      <c r="F2524">
        <v>2522</v>
      </c>
    </row>
    <row r="2525" spans="1:6" x14ac:dyDescent="0.25">
      <c r="A2525" t="s">
        <v>2738</v>
      </c>
      <c r="B2525" s="248">
        <v>4920</v>
      </c>
      <c r="C2525" t="s">
        <v>5476</v>
      </c>
      <c r="D2525" t="s">
        <v>3056</v>
      </c>
      <c r="E2525" s="249" t="s">
        <v>3028</v>
      </c>
      <c r="F2525">
        <v>2523</v>
      </c>
    </row>
    <row r="2526" spans="1:6" x14ac:dyDescent="0.25">
      <c r="A2526" t="s">
        <v>2023</v>
      </c>
      <c r="B2526" s="248">
        <v>192.5</v>
      </c>
      <c r="C2526" t="s">
        <v>5477</v>
      </c>
      <c r="D2526" t="s">
        <v>3204</v>
      </c>
      <c r="E2526" s="249" t="s">
        <v>3001</v>
      </c>
      <c r="F2526">
        <v>2524</v>
      </c>
    </row>
    <row r="2527" spans="1:6" x14ac:dyDescent="0.25">
      <c r="A2527" t="s">
        <v>2024</v>
      </c>
      <c r="B2527" s="248">
        <v>192.5</v>
      </c>
      <c r="C2527" t="s">
        <v>5478</v>
      </c>
      <c r="D2527" t="s">
        <v>3204</v>
      </c>
      <c r="E2527" s="249" t="s">
        <v>3001</v>
      </c>
      <c r="F2527">
        <v>2525</v>
      </c>
    </row>
    <row r="2528" spans="1:6" x14ac:dyDescent="0.25">
      <c r="A2528" t="s">
        <v>2026</v>
      </c>
      <c r="B2528" s="248">
        <v>541</v>
      </c>
      <c r="C2528" t="s">
        <v>5479</v>
      </c>
      <c r="D2528" t="s">
        <v>3204</v>
      </c>
      <c r="E2528" s="249" t="s">
        <v>3001</v>
      </c>
      <c r="F2528">
        <v>2526</v>
      </c>
    </row>
    <row r="2529" spans="1:6" x14ac:dyDescent="0.25">
      <c r="A2529" t="s">
        <v>2027</v>
      </c>
      <c r="B2529" s="248">
        <v>541</v>
      </c>
      <c r="C2529" t="s">
        <v>5480</v>
      </c>
      <c r="D2529" t="s">
        <v>3204</v>
      </c>
      <c r="E2529" s="249" t="s">
        <v>3001</v>
      </c>
      <c r="F2529">
        <v>2527</v>
      </c>
    </row>
    <row r="2530" spans="1:6" x14ac:dyDescent="0.25">
      <c r="A2530" t="s">
        <v>2028</v>
      </c>
      <c r="B2530" s="248">
        <v>1246</v>
      </c>
      <c r="C2530" t="s">
        <v>5481</v>
      </c>
      <c r="D2530" t="s">
        <v>3204</v>
      </c>
      <c r="E2530" s="249" t="s">
        <v>3001</v>
      </c>
      <c r="F2530">
        <v>2528</v>
      </c>
    </row>
    <row r="2531" spans="1:6" x14ac:dyDescent="0.25">
      <c r="A2531" t="s">
        <v>2035</v>
      </c>
      <c r="B2531" s="248">
        <v>229</v>
      </c>
      <c r="C2531" t="s">
        <v>5482</v>
      </c>
      <c r="D2531" t="s">
        <v>3204</v>
      </c>
      <c r="E2531" s="249" t="s">
        <v>3001</v>
      </c>
      <c r="F2531">
        <v>2529</v>
      </c>
    </row>
    <row r="2532" spans="1:6" x14ac:dyDescent="0.25">
      <c r="A2532" t="s">
        <v>2038</v>
      </c>
      <c r="B2532" s="248">
        <v>686.5</v>
      </c>
      <c r="C2532" t="s">
        <v>5483</v>
      </c>
      <c r="D2532" t="s">
        <v>3204</v>
      </c>
      <c r="E2532" s="249" t="s">
        <v>3001</v>
      </c>
      <c r="F2532">
        <v>2530</v>
      </c>
    </row>
    <row r="2533" spans="1:6" x14ac:dyDescent="0.25">
      <c r="A2533" t="s">
        <v>2040</v>
      </c>
      <c r="B2533" s="248">
        <v>1372</v>
      </c>
      <c r="C2533" t="s">
        <v>5484</v>
      </c>
      <c r="D2533" t="s">
        <v>3204</v>
      </c>
      <c r="E2533" s="249" t="s">
        <v>3001</v>
      </c>
      <c r="F2533">
        <v>2531</v>
      </c>
    </row>
    <row r="2534" spans="1:6" x14ac:dyDescent="0.25">
      <c r="A2534" t="s">
        <v>2047</v>
      </c>
      <c r="B2534" s="248">
        <v>229</v>
      </c>
      <c r="C2534" t="s">
        <v>5485</v>
      </c>
      <c r="D2534" t="s">
        <v>3204</v>
      </c>
      <c r="E2534" s="249" t="s">
        <v>3001</v>
      </c>
      <c r="F2534">
        <v>2532</v>
      </c>
    </row>
    <row r="2535" spans="1:6" x14ac:dyDescent="0.25">
      <c r="A2535" t="s">
        <v>2050</v>
      </c>
      <c r="B2535" s="248">
        <v>686.5</v>
      </c>
      <c r="C2535" t="s">
        <v>5486</v>
      </c>
      <c r="D2535" t="s">
        <v>3204</v>
      </c>
      <c r="E2535" s="249" t="s">
        <v>3001</v>
      </c>
      <c r="F2535">
        <v>2533</v>
      </c>
    </row>
    <row r="2536" spans="1:6" x14ac:dyDescent="0.25">
      <c r="A2536" t="s">
        <v>1216</v>
      </c>
      <c r="B2536" s="248">
        <v>5579</v>
      </c>
      <c r="C2536" t="s">
        <v>5487</v>
      </c>
      <c r="D2536" t="s">
        <v>3053</v>
      </c>
      <c r="E2536" s="249" t="s">
        <v>3046</v>
      </c>
      <c r="F2536">
        <v>2534</v>
      </c>
    </row>
    <row r="2537" spans="1:6" x14ac:dyDescent="0.25">
      <c r="A2537" t="s">
        <v>2355</v>
      </c>
      <c r="B2537" s="248">
        <v>16293</v>
      </c>
      <c r="C2537" t="s">
        <v>5488</v>
      </c>
      <c r="D2537" t="s">
        <v>3241</v>
      </c>
      <c r="E2537" s="249" t="s">
        <v>3020</v>
      </c>
      <c r="F2537">
        <v>2535</v>
      </c>
    </row>
    <row r="2538" spans="1:6" x14ac:dyDescent="0.25">
      <c r="A2538" t="s">
        <v>447</v>
      </c>
      <c r="B2538" s="248">
        <v>2084</v>
      </c>
      <c r="C2538" t="s">
        <v>5489</v>
      </c>
      <c r="D2538" t="s">
        <v>3204</v>
      </c>
      <c r="E2538" s="249" t="s">
        <v>3043</v>
      </c>
      <c r="F2538">
        <v>2536</v>
      </c>
    </row>
    <row r="2539" spans="1:6" x14ac:dyDescent="0.25">
      <c r="A2539" t="s">
        <v>2320</v>
      </c>
      <c r="B2539" s="248">
        <v>4114</v>
      </c>
      <c r="C2539" t="s">
        <v>5490</v>
      </c>
      <c r="D2539" t="s">
        <v>3241</v>
      </c>
      <c r="E2539" s="249" t="s">
        <v>3020</v>
      </c>
      <c r="F2539">
        <v>2537</v>
      </c>
    </row>
    <row r="2540" spans="1:6" x14ac:dyDescent="0.25">
      <c r="A2540" t="s">
        <v>2809</v>
      </c>
      <c r="B2540" s="248">
        <v>73.5</v>
      </c>
      <c r="C2540" t="s">
        <v>5491</v>
      </c>
      <c r="D2540" t="s">
        <v>3204</v>
      </c>
      <c r="E2540" s="249" t="s">
        <v>3043</v>
      </c>
      <c r="F2540">
        <v>2538</v>
      </c>
    </row>
    <row r="2541" spans="1:6" x14ac:dyDescent="0.25">
      <c r="A2541" t="s">
        <v>1184</v>
      </c>
      <c r="B2541" s="248">
        <v>15378</v>
      </c>
      <c r="C2541" t="s">
        <v>5492</v>
      </c>
      <c r="D2541" t="s">
        <v>3053</v>
      </c>
      <c r="E2541" s="249" t="s">
        <v>3046</v>
      </c>
      <c r="F2541">
        <v>2539</v>
      </c>
    </row>
    <row r="2542" spans="1:6" x14ac:dyDescent="0.25">
      <c r="A2542" t="s">
        <v>1845</v>
      </c>
      <c r="B2542" s="248">
        <v>10456</v>
      </c>
      <c r="C2542" t="s">
        <v>5493</v>
      </c>
      <c r="D2542" t="s">
        <v>3053</v>
      </c>
      <c r="E2542" s="249" t="s">
        <v>3049</v>
      </c>
      <c r="F2542">
        <v>2540</v>
      </c>
    </row>
    <row r="2543" spans="1:6" x14ac:dyDescent="0.25">
      <c r="A2543" t="s">
        <v>542</v>
      </c>
      <c r="B2543" s="248">
        <v>80.5</v>
      </c>
      <c r="C2543" t="s">
        <v>5494</v>
      </c>
      <c r="D2543" t="s">
        <v>3204</v>
      </c>
      <c r="E2543" s="249" t="s">
        <v>3044</v>
      </c>
      <c r="F2543">
        <v>2541</v>
      </c>
    </row>
    <row r="2544" spans="1:6" x14ac:dyDescent="0.25">
      <c r="A2544" t="s">
        <v>1767</v>
      </c>
      <c r="B2544" s="248">
        <v>2908</v>
      </c>
      <c r="C2544" t="s">
        <v>5495</v>
      </c>
      <c r="D2544" t="s">
        <v>3204</v>
      </c>
      <c r="E2544" s="249" t="s">
        <v>3048</v>
      </c>
      <c r="F2544">
        <v>2542</v>
      </c>
    </row>
    <row r="2545" spans="1:6" x14ac:dyDescent="0.25">
      <c r="A2545" t="s">
        <v>889</v>
      </c>
      <c r="B2545" s="248">
        <v>1085</v>
      </c>
      <c r="C2545" t="s">
        <v>5496</v>
      </c>
      <c r="D2545" t="s">
        <v>3053</v>
      </c>
      <c r="E2545" s="249" t="s">
        <v>3045</v>
      </c>
      <c r="F2545">
        <v>2543</v>
      </c>
    </row>
    <row r="2546" spans="1:6" x14ac:dyDescent="0.25">
      <c r="A2546" t="s">
        <v>2808</v>
      </c>
      <c r="B2546" s="248">
        <v>57.5</v>
      </c>
      <c r="C2546" t="s">
        <v>5497</v>
      </c>
      <c r="D2546" t="s">
        <v>3204</v>
      </c>
      <c r="E2546" s="249" t="s">
        <v>3043</v>
      </c>
      <c r="F2546">
        <v>2544</v>
      </c>
    </row>
    <row r="2547" spans="1:6" x14ac:dyDescent="0.25">
      <c r="A2547" t="s">
        <v>1645</v>
      </c>
      <c r="B2547" s="248">
        <v>1302</v>
      </c>
      <c r="C2547" t="s">
        <v>5498</v>
      </c>
      <c r="D2547" t="s">
        <v>3053</v>
      </c>
      <c r="E2547" s="249" t="s">
        <v>3048</v>
      </c>
      <c r="F2547">
        <v>2545</v>
      </c>
    </row>
    <row r="2548" spans="1:6" x14ac:dyDescent="0.25">
      <c r="A2548" t="s">
        <v>1646</v>
      </c>
      <c r="B2548" s="248">
        <v>1071</v>
      </c>
      <c r="C2548" t="s">
        <v>5499</v>
      </c>
      <c r="D2548" t="s">
        <v>3053</v>
      </c>
      <c r="E2548" s="249" t="s">
        <v>3048</v>
      </c>
      <c r="F2548">
        <v>2546</v>
      </c>
    </row>
    <row r="2549" spans="1:6" x14ac:dyDescent="0.25">
      <c r="A2549" t="s">
        <v>1193</v>
      </c>
      <c r="B2549" s="248">
        <v>38229</v>
      </c>
      <c r="C2549" t="s">
        <v>5500</v>
      </c>
      <c r="D2549" t="s">
        <v>3053</v>
      </c>
      <c r="E2549" s="249" t="s">
        <v>3046</v>
      </c>
      <c r="F2549">
        <v>2547</v>
      </c>
    </row>
    <row r="2550" spans="1:6" x14ac:dyDescent="0.25">
      <c r="A2550" t="s">
        <v>5834</v>
      </c>
      <c r="B2550" s="248">
        <v>15249</v>
      </c>
      <c r="C2550" t="s">
        <v>5992</v>
      </c>
      <c r="D2550" t="s">
        <v>3053</v>
      </c>
      <c r="E2550" s="249" t="s">
        <v>3046</v>
      </c>
      <c r="F2550">
        <v>2548</v>
      </c>
    </row>
    <row r="2551" spans="1:6" x14ac:dyDescent="0.25">
      <c r="A2551" t="s">
        <v>1439</v>
      </c>
      <c r="B2551" s="248">
        <v>3239</v>
      </c>
      <c r="C2551" t="s">
        <v>5501</v>
      </c>
      <c r="D2551" t="s">
        <v>3204</v>
      </c>
      <c r="E2551" s="249" t="s">
        <v>3048</v>
      </c>
      <c r="F2551">
        <v>2549</v>
      </c>
    </row>
    <row r="2552" spans="1:6" x14ac:dyDescent="0.25">
      <c r="A2552" t="s">
        <v>2406</v>
      </c>
      <c r="B2552" s="248">
        <v>4101</v>
      </c>
      <c r="C2552" t="s">
        <v>5502</v>
      </c>
      <c r="D2552" t="s">
        <v>3241</v>
      </c>
      <c r="E2552" s="249" t="s">
        <v>3020</v>
      </c>
      <c r="F2552">
        <v>2550</v>
      </c>
    </row>
    <row r="2553" spans="1:6" x14ac:dyDescent="0.25">
      <c r="A2553" t="s">
        <v>342</v>
      </c>
      <c r="B2553" s="248">
        <v>4435</v>
      </c>
      <c r="C2553" t="s">
        <v>5503</v>
      </c>
      <c r="D2553" t="s">
        <v>3204</v>
      </c>
      <c r="E2553" s="249" t="s">
        <v>3045</v>
      </c>
      <c r="F2553">
        <v>2551</v>
      </c>
    </row>
    <row r="2554" spans="1:6" x14ac:dyDescent="0.25">
      <c r="A2554" t="s">
        <v>1870</v>
      </c>
      <c r="B2554" s="248">
        <v>4958</v>
      </c>
      <c r="C2554" t="s">
        <v>5504</v>
      </c>
      <c r="D2554" t="s">
        <v>3053</v>
      </c>
      <c r="E2554" s="249" t="s">
        <v>3049</v>
      </c>
      <c r="F2554">
        <v>2552</v>
      </c>
    </row>
    <row r="2555" spans="1:6" x14ac:dyDescent="0.25">
      <c r="A2555" t="s">
        <v>2543</v>
      </c>
      <c r="B2555" s="248">
        <v>30910</v>
      </c>
      <c r="C2555" t="s">
        <v>5505</v>
      </c>
      <c r="D2555" t="s">
        <v>3817</v>
      </c>
      <c r="E2555" s="249" t="s">
        <v>3050</v>
      </c>
      <c r="F2555">
        <v>2553</v>
      </c>
    </row>
    <row r="2556" spans="1:6" x14ac:dyDescent="0.25">
      <c r="A2556" t="s">
        <v>2786</v>
      </c>
      <c r="B2556" s="248">
        <v>950</v>
      </c>
      <c r="C2556" t="s">
        <v>5506</v>
      </c>
      <c r="D2556" t="s">
        <v>4547</v>
      </c>
      <c r="E2556" s="249" t="s">
        <v>3036</v>
      </c>
      <c r="F2556">
        <v>2554</v>
      </c>
    </row>
    <row r="2557" spans="1:6" x14ac:dyDescent="0.25">
      <c r="A2557" t="s">
        <v>2788</v>
      </c>
      <c r="B2557" s="248">
        <v>1056</v>
      </c>
      <c r="C2557" t="s">
        <v>5507</v>
      </c>
      <c r="D2557" t="s">
        <v>4547</v>
      </c>
      <c r="E2557" s="249" t="s">
        <v>3036</v>
      </c>
      <c r="F2557">
        <v>2555</v>
      </c>
    </row>
    <row r="2558" spans="1:6" x14ac:dyDescent="0.25">
      <c r="A2558" t="s">
        <v>2790</v>
      </c>
      <c r="B2558" s="248">
        <v>1298</v>
      </c>
      <c r="C2558" t="s">
        <v>5508</v>
      </c>
      <c r="D2558" t="s">
        <v>4547</v>
      </c>
      <c r="E2558" s="249" t="s">
        <v>3036</v>
      </c>
      <c r="F2558">
        <v>2556</v>
      </c>
    </row>
    <row r="2559" spans="1:6" x14ac:dyDescent="0.25">
      <c r="A2559" t="s">
        <v>2791</v>
      </c>
      <c r="B2559" s="248">
        <v>1521</v>
      </c>
      <c r="C2559" t="s">
        <v>5509</v>
      </c>
      <c r="D2559" t="s">
        <v>4547</v>
      </c>
      <c r="E2559" s="249" t="s">
        <v>3036</v>
      </c>
      <c r="F2559">
        <v>2557</v>
      </c>
    </row>
    <row r="2560" spans="1:6" x14ac:dyDescent="0.25">
      <c r="A2560" t="s">
        <v>2792</v>
      </c>
      <c r="B2560" s="248">
        <v>1738</v>
      </c>
      <c r="C2560" t="s">
        <v>5510</v>
      </c>
      <c r="D2560" t="s">
        <v>4547</v>
      </c>
      <c r="E2560" s="249" t="s">
        <v>3036</v>
      </c>
      <c r="F2560">
        <v>2558</v>
      </c>
    </row>
    <row r="2561" spans="1:6" x14ac:dyDescent="0.25">
      <c r="A2561" t="s">
        <v>2793</v>
      </c>
      <c r="B2561" s="248">
        <v>2413</v>
      </c>
      <c r="C2561" t="s">
        <v>5511</v>
      </c>
      <c r="D2561" t="s">
        <v>4547</v>
      </c>
      <c r="E2561" s="249" t="s">
        <v>3036</v>
      </c>
      <c r="F2561">
        <v>2559</v>
      </c>
    </row>
    <row r="2562" spans="1:6" x14ac:dyDescent="0.25">
      <c r="A2562" t="s">
        <v>2794</v>
      </c>
      <c r="B2562" s="248">
        <v>3567</v>
      </c>
      <c r="C2562" t="s">
        <v>5512</v>
      </c>
      <c r="D2562" t="s">
        <v>4547</v>
      </c>
      <c r="E2562" s="249" t="s">
        <v>3036</v>
      </c>
      <c r="F2562">
        <v>2560</v>
      </c>
    </row>
    <row r="2563" spans="1:6" x14ac:dyDescent="0.25">
      <c r="A2563" t="s">
        <v>2795</v>
      </c>
      <c r="B2563" s="248">
        <v>5070</v>
      </c>
      <c r="C2563" t="s">
        <v>5513</v>
      </c>
      <c r="D2563" t="s">
        <v>4547</v>
      </c>
      <c r="E2563" s="249" t="s">
        <v>3036</v>
      </c>
      <c r="F2563">
        <v>2561</v>
      </c>
    </row>
    <row r="2564" spans="1:6" x14ac:dyDescent="0.25">
      <c r="A2564" t="s">
        <v>2796</v>
      </c>
      <c r="B2564" s="248">
        <v>6513</v>
      </c>
      <c r="C2564" t="s">
        <v>5514</v>
      </c>
      <c r="D2564" t="s">
        <v>4547</v>
      </c>
      <c r="E2564" s="249" t="s">
        <v>3036</v>
      </c>
      <c r="F2564">
        <v>2562</v>
      </c>
    </row>
    <row r="2565" spans="1:6" x14ac:dyDescent="0.25">
      <c r="A2565" t="s">
        <v>2797</v>
      </c>
      <c r="B2565" s="248">
        <v>8073</v>
      </c>
      <c r="C2565" t="s">
        <v>5515</v>
      </c>
      <c r="D2565" t="s">
        <v>4547</v>
      </c>
      <c r="E2565" s="249" t="s">
        <v>3036</v>
      </c>
      <c r="F2565">
        <v>2563</v>
      </c>
    </row>
    <row r="2566" spans="1:6" x14ac:dyDescent="0.25">
      <c r="A2566" t="s">
        <v>2798</v>
      </c>
      <c r="B2566" s="248">
        <v>11344</v>
      </c>
      <c r="C2566" t="s">
        <v>5516</v>
      </c>
      <c r="D2566" t="s">
        <v>4547</v>
      </c>
      <c r="E2566" s="249" t="s">
        <v>3036</v>
      </c>
      <c r="F2566">
        <v>2564</v>
      </c>
    </row>
    <row r="2567" spans="1:6" x14ac:dyDescent="0.25">
      <c r="A2567" t="s">
        <v>2799</v>
      </c>
      <c r="B2567" s="248">
        <v>13644</v>
      </c>
      <c r="C2567" t="s">
        <v>5517</v>
      </c>
      <c r="D2567" t="s">
        <v>4547</v>
      </c>
      <c r="E2567" s="249" t="s">
        <v>3036</v>
      </c>
      <c r="F2567">
        <v>2565</v>
      </c>
    </row>
    <row r="2568" spans="1:6" x14ac:dyDescent="0.25">
      <c r="A2568" t="s">
        <v>2800</v>
      </c>
      <c r="B2568" s="248">
        <v>19883</v>
      </c>
      <c r="C2568" t="s">
        <v>5518</v>
      </c>
      <c r="D2568" t="s">
        <v>4547</v>
      </c>
      <c r="E2568" s="249" t="s">
        <v>3036</v>
      </c>
      <c r="F2568">
        <v>2566</v>
      </c>
    </row>
    <row r="2569" spans="1:6" x14ac:dyDescent="0.25">
      <c r="A2569" t="s">
        <v>2801</v>
      </c>
      <c r="B2569" s="248">
        <v>26151</v>
      </c>
      <c r="C2569" t="s">
        <v>5519</v>
      </c>
      <c r="D2569" t="s">
        <v>4547</v>
      </c>
      <c r="E2569" s="249" t="s">
        <v>3036</v>
      </c>
      <c r="F2569">
        <v>2567</v>
      </c>
    </row>
    <row r="2570" spans="1:6" x14ac:dyDescent="0.25">
      <c r="A2570" t="s">
        <v>2802</v>
      </c>
      <c r="B2570" s="248">
        <v>36358</v>
      </c>
      <c r="C2570" t="s">
        <v>5520</v>
      </c>
      <c r="D2570" t="s">
        <v>4547</v>
      </c>
      <c r="E2570" s="249" t="s">
        <v>3036</v>
      </c>
      <c r="F2570">
        <v>2568</v>
      </c>
    </row>
    <row r="2571" spans="1:6" x14ac:dyDescent="0.25">
      <c r="A2571" t="s">
        <v>2803</v>
      </c>
      <c r="B2571" s="248">
        <v>41826</v>
      </c>
      <c r="C2571" t="s">
        <v>5521</v>
      </c>
      <c r="D2571" t="s">
        <v>4547</v>
      </c>
      <c r="E2571" s="249" t="s">
        <v>3036</v>
      </c>
      <c r="F2571">
        <v>2569</v>
      </c>
    </row>
    <row r="2572" spans="1:6" x14ac:dyDescent="0.25">
      <c r="A2572" t="s">
        <v>2804</v>
      </c>
      <c r="B2572" s="248">
        <v>54276</v>
      </c>
      <c r="C2572" t="s">
        <v>5522</v>
      </c>
      <c r="D2572" t="s">
        <v>4547</v>
      </c>
      <c r="E2572" s="249" t="s">
        <v>3036</v>
      </c>
      <c r="F2572">
        <v>2570</v>
      </c>
    </row>
    <row r="2573" spans="1:6" x14ac:dyDescent="0.25">
      <c r="A2573" t="s">
        <v>2805</v>
      </c>
      <c r="B2573" s="248">
        <v>76946</v>
      </c>
      <c r="C2573" t="s">
        <v>5523</v>
      </c>
      <c r="D2573" t="s">
        <v>4547</v>
      </c>
      <c r="E2573" s="249" t="s">
        <v>3036</v>
      </c>
      <c r="F2573">
        <v>2571</v>
      </c>
    </row>
    <row r="2574" spans="1:6" x14ac:dyDescent="0.25">
      <c r="A2574" t="s">
        <v>2885</v>
      </c>
      <c r="B2574" s="248">
        <v>24794</v>
      </c>
      <c r="C2574" t="s">
        <v>5524</v>
      </c>
      <c r="D2574" t="s">
        <v>3241</v>
      </c>
      <c r="E2574" s="249" t="s">
        <v>3020</v>
      </c>
      <c r="F2574">
        <v>2572</v>
      </c>
    </row>
    <row r="2575" spans="1:6" x14ac:dyDescent="0.25">
      <c r="A2575" t="s">
        <v>2955</v>
      </c>
      <c r="B2575" s="248">
        <v>291.5</v>
      </c>
      <c r="C2575" t="s">
        <v>5525</v>
      </c>
      <c r="D2575" t="s">
        <v>3204</v>
      </c>
      <c r="E2575" s="249" t="s">
        <v>3050</v>
      </c>
      <c r="F2575">
        <v>2573</v>
      </c>
    </row>
    <row r="2576" spans="1:6" x14ac:dyDescent="0.25">
      <c r="A2576" t="s">
        <v>6037</v>
      </c>
      <c r="B2576" s="248">
        <v>381</v>
      </c>
      <c r="C2576" t="s">
        <v>6071</v>
      </c>
      <c r="D2576" t="s">
        <v>3053</v>
      </c>
      <c r="E2576" s="249" t="s">
        <v>3043</v>
      </c>
      <c r="F2576">
        <v>2574</v>
      </c>
    </row>
    <row r="2577" spans="1:6" x14ac:dyDescent="0.25">
      <c r="A2577" t="s">
        <v>6038</v>
      </c>
      <c r="B2577" s="248">
        <v>508.5</v>
      </c>
      <c r="C2577" t="s">
        <v>6072</v>
      </c>
      <c r="D2577" t="s">
        <v>3053</v>
      </c>
      <c r="E2577" s="249" t="s">
        <v>3043</v>
      </c>
      <c r="F2577">
        <v>2575</v>
      </c>
    </row>
    <row r="2578" spans="1:6" x14ac:dyDescent="0.25">
      <c r="A2578" t="s">
        <v>6039</v>
      </c>
      <c r="B2578" s="248">
        <v>586</v>
      </c>
      <c r="C2578" t="s">
        <v>6073</v>
      </c>
      <c r="D2578" t="s">
        <v>3053</v>
      </c>
      <c r="E2578" s="249" t="s">
        <v>3043</v>
      </c>
      <c r="F2578">
        <v>2576</v>
      </c>
    </row>
    <row r="2579" spans="1:6" x14ac:dyDescent="0.25">
      <c r="A2579" t="s">
        <v>6040</v>
      </c>
      <c r="B2579" s="248">
        <v>969.5</v>
      </c>
      <c r="C2579" t="s">
        <v>6074</v>
      </c>
      <c r="D2579" t="s">
        <v>3053</v>
      </c>
      <c r="E2579" s="249" t="s">
        <v>3043</v>
      </c>
      <c r="F2579">
        <v>2577</v>
      </c>
    </row>
    <row r="2580" spans="1:6" x14ac:dyDescent="0.25">
      <c r="A2580" t="s">
        <v>6041</v>
      </c>
      <c r="B2580" s="248">
        <v>1517</v>
      </c>
      <c r="C2580" t="s">
        <v>6075</v>
      </c>
      <c r="D2580" t="s">
        <v>3053</v>
      </c>
      <c r="E2580" s="249" t="s">
        <v>3043</v>
      </c>
      <c r="F2580">
        <v>2578</v>
      </c>
    </row>
    <row r="2581" spans="1:6" x14ac:dyDescent="0.25">
      <c r="A2581" t="s">
        <v>6042</v>
      </c>
      <c r="B2581" s="248">
        <v>1945</v>
      </c>
      <c r="C2581" t="s">
        <v>6076</v>
      </c>
      <c r="D2581" t="s">
        <v>3053</v>
      </c>
      <c r="E2581" s="249" t="s">
        <v>3043</v>
      </c>
      <c r="F2581">
        <v>2579</v>
      </c>
    </row>
    <row r="2582" spans="1:6" x14ac:dyDescent="0.25">
      <c r="A2582" t="s">
        <v>6043</v>
      </c>
      <c r="B2582" s="248">
        <v>3260</v>
      </c>
      <c r="C2582" t="s">
        <v>6077</v>
      </c>
      <c r="D2582" t="s">
        <v>3053</v>
      </c>
      <c r="E2582" s="249" t="s">
        <v>3043</v>
      </c>
      <c r="F2582">
        <v>2580</v>
      </c>
    </row>
    <row r="2583" spans="1:6" x14ac:dyDescent="0.25">
      <c r="A2583" t="s">
        <v>6044</v>
      </c>
      <c r="B2583" s="248">
        <v>5049</v>
      </c>
      <c r="C2583" t="s">
        <v>6078</v>
      </c>
      <c r="D2583" t="s">
        <v>3053</v>
      </c>
      <c r="E2583" s="249" t="s">
        <v>3043</v>
      </c>
      <c r="F2583">
        <v>2581</v>
      </c>
    </row>
    <row r="2584" spans="1:6" x14ac:dyDescent="0.25">
      <c r="A2584" t="s">
        <v>6045</v>
      </c>
      <c r="B2584" s="248">
        <v>7577</v>
      </c>
      <c r="C2584" t="s">
        <v>6079</v>
      </c>
      <c r="D2584" t="s">
        <v>3053</v>
      </c>
      <c r="E2584" s="249" t="s">
        <v>3043</v>
      </c>
      <c r="F2584">
        <v>2582</v>
      </c>
    </row>
    <row r="2585" spans="1:6" x14ac:dyDescent="0.25">
      <c r="A2585" t="s">
        <v>6046</v>
      </c>
      <c r="B2585" s="248">
        <v>13988</v>
      </c>
      <c r="C2585" t="s">
        <v>6080</v>
      </c>
      <c r="D2585" t="s">
        <v>3053</v>
      </c>
      <c r="E2585" s="249" t="s">
        <v>3043</v>
      </c>
      <c r="F2585">
        <v>2583</v>
      </c>
    </row>
    <row r="2586" spans="1:6" x14ac:dyDescent="0.25">
      <c r="A2586" t="s">
        <v>6047</v>
      </c>
      <c r="B2586" s="248">
        <v>19849</v>
      </c>
      <c r="C2586" t="s">
        <v>6081</v>
      </c>
      <c r="D2586" t="s">
        <v>3053</v>
      </c>
      <c r="E2586" s="249" t="s">
        <v>3043</v>
      </c>
      <c r="F2586">
        <v>2584</v>
      </c>
    </row>
    <row r="2587" spans="1:6" x14ac:dyDescent="0.25">
      <c r="A2587" t="s">
        <v>6048</v>
      </c>
      <c r="B2587" s="248">
        <v>27264</v>
      </c>
      <c r="C2587" t="s">
        <v>6082</v>
      </c>
      <c r="D2587" t="s">
        <v>3053</v>
      </c>
      <c r="E2587" s="249" t="s">
        <v>3043</v>
      </c>
      <c r="F2587">
        <v>2585</v>
      </c>
    </row>
    <row r="2588" spans="1:6" x14ac:dyDescent="0.25">
      <c r="A2588" t="s">
        <v>6049</v>
      </c>
      <c r="B2588" s="248">
        <v>37078</v>
      </c>
      <c r="C2588" t="s">
        <v>6083</v>
      </c>
      <c r="D2588" t="s">
        <v>3053</v>
      </c>
      <c r="E2588" s="249" t="s">
        <v>3043</v>
      </c>
      <c r="F2588">
        <v>2586</v>
      </c>
    </row>
    <row r="2589" spans="1:6" x14ac:dyDescent="0.25">
      <c r="A2589" t="s">
        <v>6050</v>
      </c>
      <c r="B2589" s="248">
        <v>50425</v>
      </c>
      <c r="C2589" t="s">
        <v>6084</v>
      </c>
      <c r="D2589" t="s">
        <v>3053</v>
      </c>
      <c r="E2589" s="249" t="s">
        <v>3043</v>
      </c>
      <c r="F2589">
        <v>2587</v>
      </c>
    </row>
    <row r="2590" spans="1:6" x14ac:dyDescent="0.25">
      <c r="A2590" t="s">
        <v>6051</v>
      </c>
      <c r="B2590" s="248">
        <v>652.5</v>
      </c>
      <c r="C2590" t="s">
        <v>6085</v>
      </c>
      <c r="D2590" t="s">
        <v>3053</v>
      </c>
      <c r="E2590" s="249" t="s">
        <v>3043</v>
      </c>
      <c r="F2590">
        <v>2588</v>
      </c>
    </row>
    <row r="2591" spans="1:6" x14ac:dyDescent="0.25">
      <c r="A2591" t="s">
        <v>6052</v>
      </c>
      <c r="B2591" s="248">
        <v>740</v>
      </c>
      <c r="C2591" t="s">
        <v>6086</v>
      </c>
      <c r="D2591" t="s">
        <v>3053</v>
      </c>
      <c r="E2591" s="249" t="s">
        <v>3043</v>
      </c>
      <c r="F2591">
        <v>2589</v>
      </c>
    </row>
    <row r="2592" spans="1:6" x14ac:dyDescent="0.25">
      <c r="A2592" t="s">
        <v>6053</v>
      </c>
      <c r="B2592" s="248">
        <v>887</v>
      </c>
      <c r="C2592" t="s">
        <v>6087</v>
      </c>
      <c r="D2592" t="s">
        <v>3053</v>
      </c>
      <c r="E2592" s="249" t="s">
        <v>3043</v>
      </c>
      <c r="F2592">
        <v>2590</v>
      </c>
    </row>
    <row r="2593" spans="1:6" x14ac:dyDescent="0.25">
      <c r="A2593" t="s">
        <v>6054</v>
      </c>
      <c r="B2593" s="248">
        <v>1409</v>
      </c>
      <c r="C2593" t="s">
        <v>6088</v>
      </c>
      <c r="D2593" t="s">
        <v>3053</v>
      </c>
      <c r="E2593" s="249" t="s">
        <v>3043</v>
      </c>
      <c r="F2593">
        <v>2591</v>
      </c>
    </row>
    <row r="2594" spans="1:6" x14ac:dyDescent="0.25">
      <c r="A2594" t="s">
        <v>6055</v>
      </c>
      <c r="B2594" s="248">
        <v>2255</v>
      </c>
      <c r="C2594" t="s">
        <v>6089</v>
      </c>
      <c r="D2594" t="s">
        <v>3053</v>
      </c>
      <c r="E2594" s="249" t="s">
        <v>3043</v>
      </c>
      <c r="F2594">
        <v>2592</v>
      </c>
    </row>
    <row r="2595" spans="1:6" x14ac:dyDescent="0.25">
      <c r="A2595" t="s">
        <v>6056</v>
      </c>
      <c r="B2595" s="248">
        <v>2487</v>
      </c>
      <c r="C2595" t="s">
        <v>6090</v>
      </c>
      <c r="D2595" t="s">
        <v>3053</v>
      </c>
      <c r="E2595" s="249" t="s">
        <v>3043</v>
      </c>
      <c r="F2595">
        <v>2593</v>
      </c>
    </row>
    <row r="2596" spans="1:6" x14ac:dyDescent="0.25">
      <c r="A2596" t="s">
        <v>6057</v>
      </c>
      <c r="B2596" s="248">
        <v>3914</v>
      </c>
      <c r="C2596" t="s">
        <v>6091</v>
      </c>
      <c r="D2596" t="s">
        <v>3053</v>
      </c>
      <c r="E2596" s="249" t="s">
        <v>3043</v>
      </c>
      <c r="F2596">
        <v>2594</v>
      </c>
    </row>
    <row r="2597" spans="1:6" x14ac:dyDescent="0.25">
      <c r="A2597" t="s">
        <v>6058</v>
      </c>
      <c r="B2597" s="248">
        <v>7323</v>
      </c>
      <c r="C2597" t="s">
        <v>6092</v>
      </c>
      <c r="D2597" t="s">
        <v>3053</v>
      </c>
      <c r="E2597" s="249" t="s">
        <v>3043</v>
      </c>
      <c r="F2597">
        <v>2595</v>
      </c>
    </row>
    <row r="2598" spans="1:6" x14ac:dyDescent="0.25">
      <c r="A2598" t="s">
        <v>6059</v>
      </c>
      <c r="B2598" s="248">
        <v>10902</v>
      </c>
      <c r="C2598" t="s">
        <v>6093</v>
      </c>
      <c r="D2598" t="s">
        <v>3053</v>
      </c>
      <c r="E2598" s="249" t="s">
        <v>3043</v>
      </c>
      <c r="F2598">
        <v>2596</v>
      </c>
    </row>
    <row r="2599" spans="1:6" x14ac:dyDescent="0.25">
      <c r="A2599" t="s">
        <v>6060</v>
      </c>
      <c r="B2599" s="248">
        <v>14823</v>
      </c>
      <c r="C2599" t="s">
        <v>6094</v>
      </c>
      <c r="D2599" t="s">
        <v>3053</v>
      </c>
      <c r="E2599" s="249" t="s">
        <v>3043</v>
      </c>
      <c r="F2599">
        <v>2597</v>
      </c>
    </row>
    <row r="2600" spans="1:6" x14ac:dyDescent="0.25">
      <c r="A2600" t="s">
        <v>6061</v>
      </c>
      <c r="B2600" s="248">
        <v>20158</v>
      </c>
      <c r="C2600" t="s">
        <v>6095</v>
      </c>
      <c r="D2600" t="s">
        <v>3053</v>
      </c>
      <c r="E2600" s="249" t="s">
        <v>3043</v>
      </c>
      <c r="F2600">
        <v>2598</v>
      </c>
    </row>
    <row r="2601" spans="1:6" x14ac:dyDescent="0.25">
      <c r="A2601" t="s">
        <v>6062</v>
      </c>
      <c r="B2601" s="248">
        <v>27414</v>
      </c>
      <c r="C2601" t="s">
        <v>6096</v>
      </c>
      <c r="D2601" t="s">
        <v>3053</v>
      </c>
      <c r="E2601" s="249" t="s">
        <v>3043</v>
      </c>
      <c r="F2601">
        <v>2599</v>
      </c>
    </row>
    <row r="2602" spans="1:6" x14ac:dyDescent="0.25">
      <c r="A2602" t="s">
        <v>6063</v>
      </c>
      <c r="B2602" s="248">
        <v>37282</v>
      </c>
      <c r="C2602" t="s">
        <v>6097</v>
      </c>
      <c r="D2602" t="s">
        <v>3053</v>
      </c>
      <c r="E2602" s="249" t="s">
        <v>3043</v>
      </c>
      <c r="F2602">
        <v>2600</v>
      </c>
    </row>
    <row r="2603" spans="1:6" x14ac:dyDescent="0.25">
      <c r="A2603" t="s">
        <v>6064</v>
      </c>
      <c r="B2603" s="248">
        <v>50425</v>
      </c>
      <c r="C2603" t="s">
        <v>6098</v>
      </c>
      <c r="D2603" t="s">
        <v>3053</v>
      </c>
      <c r="E2603" s="249" t="s">
        <v>3043</v>
      </c>
      <c r="F2603">
        <v>2601</v>
      </c>
    </row>
    <row r="2604" spans="1:6" x14ac:dyDescent="0.25">
      <c r="A2604" t="s">
        <v>6125</v>
      </c>
      <c r="B2604" s="248">
        <v>7063</v>
      </c>
      <c r="C2604" t="s">
        <v>6126</v>
      </c>
      <c r="D2604" t="s">
        <v>3053</v>
      </c>
      <c r="E2604" s="249" t="s">
        <v>3001</v>
      </c>
      <c r="F2604">
        <v>2602</v>
      </c>
    </row>
    <row r="2605" spans="1:6" x14ac:dyDescent="0.25">
      <c r="A2605" t="s">
        <v>6127</v>
      </c>
      <c r="B2605" s="248">
        <v>7538</v>
      </c>
      <c r="C2605" t="s">
        <v>6128</v>
      </c>
      <c r="D2605" t="s">
        <v>3053</v>
      </c>
      <c r="E2605" s="249" t="s">
        <v>3001</v>
      </c>
      <c r="F2605">
        <v>2603</v>
      </c>
    </row>
    <row r="2606" spans="1:6" x14ac:dyDescent="0.25">
      <c r="A2606" t="s">
        <v>6129</v>
      </c>
      <c r="B2606" s="248">
        <v>8219</v>
      </c>
      <c r="C2606" t="s">
        <v>6130</v>
      </c>
      <c r="D2606" t="s">
        <v>3053</v>
      </c>
      <c r="E2606" s="249" t="s">
        <v>3001</v>
      </c>
      <c r="F2606">
        <v>2604</v>
      </c>
    </row>
    <row r="2607" spans="1:6" x14ac:dyDescent="0.25">
      <c r="A2607" t="s">
        <v>6131</v>
      </c>
      <c r="B2607" s="248">
        <v>13878</v>
      </c>
      <c r="C2607" t="s">
        <v>6134</v>
      </c>
      <c r="D2607" t="s">
        <v>3053</v>
      </c>
      <c r="E2607" s="249" t="s">
        <v>3001</v>
      </c>
      <c r="F2607">
        <v>2605</v>
      </c>
    </row>
    <row r="2608" spans="1:6" x14ac:dyDescent="0.25">
      <c r="A2608" t="s">
        <v>6132</v>
      </c>
      <c r="B2608" s="248">
        <v>30205</v>
      </c>
      <c r="C2608" t="s">
        <v>6133</v>
      </c>
      <c r="D2608" t="s">
        <v>3053</v>
      </c>
      <c r="E2608" s="249" t="s">
        <v>3001</v>
      </c>
      <c r="F2608">
        <v>2606</v>
      </c>
    </row>
    <row r="2609" spans="1:6" x14ac:dyDescent="0.25">
      <c r="A2609" t="s">
        <v>6135</v>
      </c>
      <c r="B2609" s="248">
        <v>30205</v>
      </c>
      <c r="C2609" t="s">
        <v>6136</v>
      </c>
      <c r="D2609" t="s">
        <v>3053</v>
      </c>
      <c r="E2609" s="249" t="s">
        <v>3001</v>
      </c>
      <c r="F2609">
        <v>2607</v>
      </c>
    </row>
    <row r="2610" spans="1:6" x14ac:dyDescent="0.25">
      <c r="A2610" t="s">
        <v>6137</v>
      </c>
      <c r="B2610" s="248">
        <v>10987</v>
      </c>
      <c r="C2610" t="s">
        <v>6138</v>
      </c>
      <c r="D2610" t="s">
        <v>3053</v>
      </c>
      <c r="E2610" s="249" t="s">
        <v>3001</v>
      </c>
      <c r="F2610">
        <v>2608</v>
      </c>
    </row>
    <row r="2611" spans="1:6" x14ac:dyDescent="0.25">
      <c r="A2611" t="s">
        <v>6139</v>
      </c>
      <c r="B2611" s="248">
        <v>17726</v>
      </c>
      <c r="C2611" t="s">
        <v>6140</v>
      </c>
      <c r="D2611" t="s">
        <v>3053</v>
      </c>
      <c r="E2611" s="249" t="s">
        <v>3001</v>
      </c>
      <c r="F2611">
        <v>2609</v>
      </c>
    </row>
    <row r="2612" spans="1:6" x14ac:dyDescent="0.25">
      <c r="A2612" t="s">
        <v>6141</v>
      </c>
      <c r="B2612" s="248">
        <v>19322</v>
      </c>
      <c r="C2612" t="s">
        <v>6142</v>
      </c>
      <c r="D2612" t="s">
        <v>3053</v>
      </c>
      <c r="E2612" s="249" t="s">
        <v>3001</v>
      </c>
      <c r="F2612">
        <v>2610</v>
      </c>
    </row>
    <row r="2613" spans="1:6" x14ac:dyDescent="0.25">
      <c r="A2613" t="s">
        <v>6143</v>
      </c>
      <c r="B2613" s="248">
        <v>23828</v>
      </c>
      <c r="C2613" t="s">
        <v>6144</v>
      </c>
      <c r="D2613" t="s">
        <v>3053</v>
      </c>
      <c r="E2613" s="249" t="s">
        <v>3001</v>
      </c>
      <c r="F2613">
        <v>2611</v>
      </c>
    </row>
    <row r="2614" spans="1:6" x14ac:dyDescent="0.25">
      <c r="A2614" t="s">
        <v>6145</v>
      </c>
      <c r="B2614" s="248">
        <v>44612</v>
      </c>
      <c r="C2614" t="s">
        <v>6146</v>
      </c>
      <c r="D2614" t="s">
        <v>3053</v>
      </c>
      <c r="E2614" s="249" t="s">
        <v>3001</v>
      </c>
      <c r="F2614">
        <v>2612</v>
      </c>
    </row>
    <row r="2615" spans="1:6" x14ac:dyDescent="0.25">
      <c r="A2615" t="s">
        <v>6184</v>
      </c>
      <c r="B2615" s="248">
        <v>44612</v>
      </c>
      <c r="C2615" t="s">
        <v>6147</v>
      </c>
      <c r="D2615" t="s">
        <v>3053</v>
      </c>
      <c r="E2615" s="249" t="s">
        <v>3001</v>
      </c>
      <c r="F2615">
        <v>2613</v>
      </c>
    </row>
    <row r="2616" spans="1:6" x14ac:dyDescent="0.25">
      <c r="A2616" t="s">
        <v>6148</v>
      </c>
      <c r="B2616" s="248">
        <v>14879</v>
      </c>
      <c r="C2616" t="s">
        <v>6149</v>
      </c>
      <c r="D2616" t="s">
        <v>3053</v>
      </c>
      <c r="E2616" s="249" t="s">
        <v>3001</v>
      </c>
      <c r="F2616">
        <v>2614</v>
      </c>
    </row>
    <row r="2617" spans="1:6" x14ac:dyDescent="0.25">
      <c r="A2617" t="s">
        <v>6150</v>
      </c>
      <c r="B2617" s="248">
        <v>24951</v>
      </c>
      <c r="C2617" t="s">
        <v>6151</v>
      </c>
      <c r="D2617" t="s">
        <v>3053</v>
      </c>
      <c r="E2617" s="249" t="s">
        <v>3001</v>
      </c>
      <c r="F2617">
        <v>2615</v>
      </c>
    </row>
    <row r="2618" spans="1:6" x14ac:dyDescent="0.25">
      <c r="A2618" t="s">
        <v>6152</v>
      </c>
      <c r="B2618" s="248">
        <v>27193</v>
      </c>
      <c r="C2618" t="s">
        <v>6153</v>
      </c>
      <c r="D2618" t="s">
        <v>3053</v>
      </c>
      <c r="E2618" s="249" t="s">
        <v>3001</v>
      </c>
      <c r="F2618">
        <v>2616</v>
      </c>
    </row>
    <row r="2619" spans="1:6" x14ac:dyDescent="0.25">
      <c r="A2619" t="s">
        <v>6154</v>
      </c>
      <c r="B2619" s="248">
        <v>35373</v>
      </c>
      <c r="C2619" t="s">
        <v>6155</v>
      </c>
      <c r="D2619" t="s">
        <v>3053</v>
      </c>
      <c r="E2619" s="249" t="s">
        <v>3001</v>
      </c>
      <c r="F2619">
        <v>2617</v>
      </c>
    </row>
    <row r="2620" spans="1:6" x14ac:dyDescent="0.25">
      <c r="A2620" t="s">
        <v>6156</v>
      </c>
      <c r="B2620" s="248">
        <v>71096</v>
      </c>
      <c r="C2620" t="s">
        <v>6157</v>
      </c>
      <c r="D2620" t="s">
        <v>3053</v>
      </c>
      <c r="E2620" s="249" t="s">
        <v>3001</v>
      </c>
      <c r="F2620">
        <v>2618</v>
      </c>
    </row>
    <row r="2621" spans="1:6" x14ac:dyDescent="0.25">
      <c r="A2621" t="s">
        <v>6159</v>
      </c>
      <c r="B2621" s="248">
        <v>71096</v>
      </c>
      <c r="C2621" t="s">
        <v>6158</v>
      </c>
      <c r="D2621" t="s">
        <v>3053</v>
      </c>
      <c r="E2621" s="249" t="s">
        <v>3001</v>
      </c>
      <c r="F2621">
        <v>2619</v>
      </c>
    </row>
    <row r="2622" spans="1:6" x14ac:dyDescent="0.25">
      <c r="A2622" t="s">
        <v>6160</v>
      </c>
      <c r="B2622" s="248">
        <v>16946</v>
      </c>
      <c r="C2622" t="s">
        <v>6161</v>
      </c>
      <c r="D2622" t="s">
        <v>3053</v>
      </c>
      <c r="E2622" s="249" t="s">
        <v>3001</v>
      </c>
      <c r="F2622">
        <v>2620</v>
      </c>
    </row>
    <row r="2623" spans="1:6" x14ac:dyDescent="0.25">
      <c r="A2623" t="s">
        <v>6162</v>
      </c>
      <c r="B2623" s="248">
        <v>23545</v>
      </c>
      <c r="C2623" t="s">
        <v>6163</v>
      </c>
      <c r="D2623" t="s">
        <v>3053</v>
      </c>
      <c r="E2623" s="249" t="s">
        <v>3001</v>
      </c>
      <c r="F2623">
        <v>2621</v>
      </c>
    </row>
    <row r="2624" spans="1:6" x14ac:dyDescent="0.25">
      <c r="A2624" t="s">
        <v>6165</v>
      </c>
      <c r="B2624" s="248">
        <v>24878</v>
      </c>
      <c r="C2624" t="s">
        <v>6164</v>
      </c>
      <c r="D2624" t="s">
        <v>3053</v>
      </c>
      <c r="E2624" s="249" t="s">
        <v>3001</v>
      </c>
      <c r="F2624">
        <v>2622</v>
      </c>
    </row>
    <row r="2625" spans="1:6" x14ac:dyDescent="0.25">
      <c r="A2625" t="s">
        <v>6166</v>
      </c>
      <c r="B2625" s="248">
        <v>32583</v>
      </c>
      <c r="C2625" t="s">
        <v>6167</v>
      </c>
      <c r="D2625" t="s">
        <v>3053</v>
      </c>
      <c r="E2625" s="249" t="s">
        <v>3001</v>
      </c>
      <c r="F2625">
        <v>2623</v>
      </c>
    </row>
    <row r="2626" spans="1:6" x14ac:dyDescent="0.25">
      <c r="A2626" t="s">
        <v>6168</v>
      </c>
      <c r="B2626" s="248">
        <v>58643</v>
      </c>
      <c r="C2626" t="s">
        <v>6169</v>
      </c>
      <c r="D2626" t="s">
        <v>3053</v>
      </c>
      <c r="E2626" s="249" t="s">
        <v>3001</v>
      </c>
      <c r="F2626">
        <v>2624</v>
      </c>
    </row>
    <row r="2627" spans="1:6" x14ac:dyDescent="0.25">
      <c r="A2627" t="s">
        <v>6170</v>
      </c>
      <c r="B2627" s="248">
        <v>58643</v>
      </c>
      <c r="C2627" t="s">
        <v>6171</v>
      </c>
      <c r="D2627" t="s">
        <v>3053</v>
      </c>
      <c r="E2627" s="249" t="s">
        <v>3001</v>
      </c>
      <c r="F2627">
        <v>2625</v>
      </c>
    </row>
    <row r="2628" spans="1:6" x14ac:dyDescent="0.25">
      <c r="A2628" t="s">
        <v>6172</v>
      </c>
      <c r="B2628" s="248">
        <v>19312</v>
      </c>
      <c r="C2628" t="s">
        <v>6173</v>
      </c>
      <c r="D2628" t="s">
        <v>3053</v>
      </c>
      <c r="E2628" s="249" t="s">
        <v>3001</v>
      </c>
      <c r="F2628">
        <v>2626</v>
      </c>
    </row>
    <row r="2629" spans="1:6" x14ac:dyDescent="0.25">
      <c r="A2629" t="s">
        <v>6174</v>
      </c>
      <c r="B2629" s="248">
        <v>28623</v>
      </c>
      <c r="C2629" t="s">
        <v>6175</v>
      </c>
      <c r="D2629" t="s">
        <v>3053</v>
      </c>
      <c r="E2629" s="249" t="s">
        <v>3001</v>
      </c>
      <c r="F2629">
        <v>2627</v>
      </c>
    </row>
    <row r="2630" spans="1:6" x14ac:dyDescent="0.25">
      <c r="A2630" t="s">
        <v>6176</v>
      </c>
      <c r="B2630" s="248">
        <v>31804</v>
      </c>
      <c r="C2630" t="s">
        <v>6177</v>
      </c>
      <c r="D2630" t="s">
        <v>3053</v>
      </c>
      <c r="E2630" s="249" t="s">
        <v>3001</v>
      </c>
      <c r="F2630">
        <v>2628</v>
      </c>
    </row>
    <row r="2631" spans="1:6" x14ac:dyDescent="0.25">
      <c r="A2631" t="s">
        <v>6178</v>
      </c>
      <c r="B2631" s="248">
        <v>38820</v>
      </c>
      <c r="C2631" t="s">
        <v>6179</v>
      </c>
      <c r="D2631" t="s">
        <v>3053</v>
      </c>
      <c r="E2631" s="249" t="s">
        <v>3001</v>
      </c>
      <c r="F2631">
        <v>2629</v>
      </c>
    </row>
    <row r="2632" spans="1:6" x14ac:dyDescent="0.25">
      <c r="A2632" t="s">
        <v>6180</v>
      </c>
      <c r="B2632" s="248">
        <v>68649</v>
      </c>
      <c r="C2632" t="s">
        <v>6181</v>
      </c>
      <c r="D2632" t="s">
        <v>3053</v>
      </c>
      <c r="E2632" s="249" t="s">
        <v>3001</v>
      </c>
      <c r="F2632">
        <v>2630</v>
      </c>
    </row>
    <row r="2633" spans="1:6" x14ac:dyDescent="0.25">
      <c r="A2633" t="s">
        <v>6182</v>
      </c>
      <c r="B2633" s="248">
        <v>68649</v>
      </c>
      <c r="C2633" t="s">
        <v>6183</v>
      </c>
      <c r="D2633" t="s">
        <v>3053</v>
      </c>
      <c r="E2633" s="249" t="s">
        <v>3001</v>
      </c>
      <c r="F2633">
        <v>2631</v>
      </c>
    </row>
    <row r="2634" spans="1:6" x14ac:dyDescent="0.25">
      <c r="A2634" t="s">
        <v>6105</v>
      </c>
      <c r="B2634" s="248">
        <v>59921</v>
      </c>
      <c r="C2634" t="s">
        <v>6110</v>
      </c>
      <c r="D2634" t="s">
        <v>3053</v>
      </c>
      <c r="E2634" s="249" t="s">
        <v>3001</v>
      </c>
      <c r="F2634">
        <v>2632</v>
      </c>
    </row>
    <row r="2635" spans="1:6" x14ac:dyDescent="0.25">
      <c r="A2635" t="s">
        <v>6106</v>
      </c>
      <c r="B2635" s="248">
        <v>85487</v>
      </c>
      <c r="C2635" t="s">
        <v>6109</v>
      </c>
      <c r="D2635" t="s">
        <v>3053</v>
      </c>
      <c r="E2635" s="249" t="s">
        <v>3001</v>
      </c>
      <c r="F2635">
        <v>2633</v>
      </c>
    </row>
    <row r="2636" spans="1:6" x14ac:dyDescent="0.25">
      <c r="A2636" t="s">
        <v>6107</v>
      </c>
      <c r="B2636" s="248">
        <v>94275</v>
      </c>
      <c r="C2636" t="s">
        <v>6108</v>
      </c>
      <c r="D2636" t="s">
        <v>3053</v>
      </c>
      <c r="E2636" s="249" t="s">
        <v>3001</v>
      </c>
      <c r="F2636">
        <v>2634</v>
      </c>
    </row>
    <row r="2637" spans="1:6" x14ac:dyDescent="0.25">
      <c r="A2637" t="s">
        <v>6111</v>
      </c>
      <c r="B2637" s="248">
        <v>111052</v>
      </c>
      <c r="C2637" t="s">
        <v>6112</v>
      </c>
      <c r="D2637" t="s">
        <v>3053</v>
      </c>
      <c r="E2637" s="249" t="s">
        <v>3001</v>
      </c>
      <c r="F2637">
        <v>2635</v>
      </c>
    </row>
    <row r="2638" spans="1:6" x14ac:dyDescent="0.25">
      <c r="A2638" t="s">
        <v>6113</v>
      </c>
      <c r="B2638" s="248">
        <v>136615</v>
      </c>
      <c r="C2638" t="s">
        <v>6114</v>
      </c>
      <c r="D2638" t="s">
        <v>3053</v>
      </c>
      <c r="E2638" s="249" t="s">
        <v>3001</v>
      </c>
      <c r="F2638">
        <v>2636</v>
      </c>
    </row>
    <row r="2639" spans="1:6" x14ac:dyDescent="0.25">
      <c r="A2639" t="s">
        <v>6115</v>
      </c>
      <c r="B2639" s="248">
        <v>85047</v>
      </c>
      <c r="C2639" t="s">
        <v>6116</v>
      </c>
      <c r="D2639" t="s">
        <v>3053</v>
      </c>
      <c r="E2639" s="249" t="s">
        <v>3001</v>
      </c>
      <c r="F2639">
        <v>2637</v>
      </c>
    </row>
    <row r="2640" spans="1:6" x14ac:dyDescent="0.25">
      <c r="A2640" t="s">
        <v>6117</v>
      </c>
      <c r="B2640" s="248">
        <v>116433</v>
      </c>
      <c r="C2640" t="s">
        <v>6118</v>
      </c>
      <c r="D2640" t="s">
        <v>3053</v>
      </c>
      <c r="E2640" s="249" t="s">
        <v>3001</v>
      </c>
      <c r="F2640">
        <v>2638</v>
      </c>
    </row>
    <row r="2641" spans="1:6" x14ac:dyDescent="0.25">
      <c r="A2641" t="s">
        <v>6119</v>
      </c>
      <c r="B2641" s="248">
        <v>116432</v>
      </c>
      <c r="C2641" t="s">
        <v>6120</v>
      </c>
      <c r="D2641" t="s">
        <v>3053</v>
      </c>
      <c r="E2641" s="249" t="s">
        <v>3001</v>
      </c>
      <c r="F2641">
        <v>2639</v>
      </c>
    </row>
    <row r="2642" spans="1:6" x14ac:dyDescent="0.25">
      <c r="A2642" t="s">
        <v>6121</v>
      </c>
      <c r="B2642" s="248">
        <v>172535</v>
      </c>
      <c r="C2642" t="s">
        <v>6122</v>
      </c>
      <c r="D2642" t="s">
        <v>3053</v>
      </c>
      <c r="E2642" s="249" t="s">
        <v>3001</v>
      </c>
      <c r="F2642">
        <v>2640</v>
      </c>
    </row>
    <row r="2643" spans="1:6" x14ac:dyDescent="0.25">
      <c r="A2643" t="s">
        <v>6123</v>
      </c>
      <c r="B2643" s="248">
        <v>192576</v>
      </c>
      <c r="C2643" t="s">
        <v>6124</v>
      </c>
      <c r="D2643" t="s">
        <v>3053</v>
      </c>
      <c r="E2643" s="249" t="s">
        <v>3001</v>
      </c>
      <c r="F2643">
        <v>2641</v>
      </c>
    </row>
    <row r="2644" spans="1:6" x14ac:dyDescent="0.25">
      <c r="A2644" t="s">
        <v>343</v>
      </c>
      <c r="B2644" s="248">
        <v>6303</v>
      </c>
      <c r="C2644" t="s">
        <v>5526</v>
      </c>
      <c r="D2644" t="s">
        <v>3204</v>
      </c>
      <c r="E2644" s="249" t="s">
        <v>3045</v>
      </c>
      <c r="F2644">
        <v>2642</v>
      </c>
    </row>
    <row r="2645" spans="1:6" x14ac:dyDescent="0.25">
      <c r="A2645" t="s">
        <v>6065</v>
      </c>
      <c r="B2645" s="248">
        <v>1501</v>
      </c>
      <c r="C2645" t="s">
        <v>6099</v>
      </c>
      <c r="D2645" t="s">
        <v>3204</v>
      </c>
      <c r="E2645" s="249" t="s">
        <v>3043</v>
      </c>
      <c r="F2645">
        <v>2643</v>
      </c>
    </row>
    <row r="2646" spans="1:6" x14ac:dyDescent="0.25">
      <c r="A2646" t="s">
        <v>6066</v>
      </c>
      <c r="B2646" s="248">
        <v>1501</v>
      </c>
      <c r="C2646" t="s">
        <v>6100</v>
      </c>
      <c r="D2646" t="s">
        <v>3204</v>
      </c>
      <c r="E2646" s="249" t="s">
        <v>3043</v>
      </c>
      <c r="F2646">
        <v>2644</v>
      </c>
    </row>
    <row r="2647" spans="1:6" x14ac:dyDescent="0.25">
      <c r="A2647" t="s">
        <v>6067</v>
      </c>
      <c r="B2647" s="248">
        <v>2251</v>
      </c>
      <c r="C2647" t="s">
        <v>6101</v>
      </c>
      <c r="D2647" t="s">
        <v>3204</v>
      </c>
      <c r="E2647" s="249" t="s">
        <v>3043</v>
      </c>
      <c r="F2647">
        <v>2645</v>
      </c>
    </row>
    <row r="2648" spans="1:6" x14ac:dyDescent="0.25">
      <c r="A2648" t="s">
        <v>6068</v>
      </c>
      <c r="B2648" s="248">
        <v>2251</v>
      </c>
      <c r="C2648" t="s">
        <v>6102</v>
      </c>
      <c r="D2648" t="s">
        <v>3204</v>
      </c>
      <c r="E2648" s="249" t="s">
        <v>3043</v>
      </c>
      <c r="F2648">
        <v>2646</v>
      </c>
    </row>
    <row r="2649" spans="1:6" x14ac:dyDescent="0.25">
      <c r="A2649" t="s">
        <v>6069</v>
      </c>
      <c r="B2649" s="248">
        <v>750.5</v>
      </c>
      <c r="C2649" t="s">
        <v>6103</v>
      </c>
      <c r="D2649" t="s">
        <v>3204</v>
      </c>
      <c r="E2649" s="249" t="s">
        <v>3043</v>
      </c>
      <c r="F2649">
        <v>2647</v>
      </c>
    </row>
    <row r="2650" spans="1:6" x14ac:dyDescent="0.25">
      <c r="A2650" t="s">
        <v>6070</v>
      </c>
      <c r="B2650" s="248">
        <v>938</v>
      </c>
      <c r="C2650" t="s">
        <v>6104</v>
      </c>
      <c r="D2650" t="s">
        <v>3204</v>
      </c>
      <c r="E2650" s="249" t="s">
        <v>3043</v>
      </c>
      <c r="F2650">
        <v>2648</v>
      </c>
    </row>
    <row r="2651" spans="1:6" x14ac:dyDescent="0.25">
      <c r="A2651" t="s">
        <v>1195</v>
      </c>
      <c r="B2651" s="248">
        <v>45874</v>
      </c>
      <c r="C2651" t="s">
        <v>5527</v>
      </c>
      <c r="D2651" t="s">
        <v>3053</v>
      </c>
      <c r="E2651" s="249" t="s">
        <v>3046</v>
      </c>
      <c r="F2651">
        <v>2649</v>
      </c>
    </row>
    <row r="2652" spans="1:6" x14ac:dyDescent="0.25">
      <c r="A2652" t="s">
        <v>2776</v>
      </c>
      <c r="B2652" s="248">
        <v>44635</v>
      </c>
      <c r="C2652" t="s">
        <v>5528</v>
      </c>
      <c r="D2652" t="s">
        <v>4547</v>
      </c>
      <c r="E2652" s="249" t="s">
        <v>3036</v>
      </c>
      <c r="F2652">
        <v>2650</v>
      </c>
    </row>
    <row r="2653" spans="1:6" x14ac:dyDescent="0.25">
      <c r="A2653" t="s">
        <v>2777</v>
      </c>
      <c r="B2653" s="248">
        <v>49367</v>
      </c>
      <c r="C2653" t="s">
        <v>5529</v>
      </c>
      <c r="D2653" t="s">
        <v>4547</v>
      </c>
      <c r="E2653" s="249" t="s">
        <v>3036</v>
      </c>
      <c r="F2653">
        <v>2651</v>
      </c>
    </row>
    <row r="2654" spans="1:6" x14ac:dyDescent="0.25">
      <c r="A2654" t="s">
        <v>2778</v>
      </c>
      <c r="B2654" s="248">
        <v>51885</v>
      </c>
      <c r="C2654" t="s">
        <v>5530</v>
      </c>
      <c r="D2654" t="s">
        <v>4547</v>
      </c>
      <c r="E2654" s="249" t="s">
        <v>3036</v>
      </c>
      <c r="F2654">
        <v>2652</v>
      </c>
    </row>
    <row r="2655" spans="1:6" x14ac:dyDescent="0.25">
      <c r="A2655" t="s">
        <v>2779</v>
      </c>
      <c r="B2655" s="248">
        <v>84890</v>
      </c>
      <c r="C2655" t="s">
        <v>5531</v>
      </c>
      <c r="D2655" t="s">
        <v>4547</v>
      </c>
      <c r="E2655" s="249" t="s">
        <v>3036</v>
      </c>
      <c r="F2655">
        <v>2653</v>
      </c>
    </row>
    <row r="2656" spans="1:6" x14ac:dyDescent="0.25">
      <c r="A2656" t="s">
        <v>2780</v>
      </c>
      <c r="B2656" s="248">
        <v>117048</v>
      </c>
      <c r="C2656" t="s">
        <v>5532</v>
      </c>
      <c r="D2656" t="s">
        <v>4547</v>
      </c>
      <c r="E2656" s="249" t="s">
        <v>3036</v>
      </c>
      <c r="F2656">
        <v>2654</v>
      </c>
    </row>
    <row r="2657" spans="1:6" x14ac:dyDescent="0.25">
      <c r="A2657" t="s">
        <v>2785</v>
      </c>
      <c r="B2657" s="248">
        <v>931</v>
      </c>
      <c r="C2657" t="s">
        <v>5533</v>
      </c>
      <c r="D2657" t="s">
        <v>4547</v>
      </c>
      <c r="E2657" s="249" t="s">
        <v>3036</v>
      </c>
      <c r="F2657">
        <v>2655</v>
      </c>
    </row>
    <row r="2658" spans="1:6" x14ac:dyDescent="0.25">
      <c r="A2658" t="s">
        <v>2787</v>
      </c>
      <c r="B2658" s="248">
        <v>991</v>
      </c>
      <c r="C2658" t="s">
        <v>5534</v>
      </c>
      <c r="D2658" t="s">
        <v>4547</v>
      </c>
      <c r="E2658" s="249" t="s">
        <v>3036</v>
      </c>
      <c r="F2658">
        <v>2656</v>
      </c>
    </row>
    <row r="2659" spans="1:6" x14ac:dyDescent="0.25">
      <c r="A2659" t="s">
        <v>2789</v>
      </c>
      <c r="B2659" s="248">
        <v>1231</v>
      </c>
      <c r="C2659" t="s">
        <v>5535</v>
      </c>
      <c r="D2659" t="s">
        <v>4547</v>
      </c>
      <c r="E2659" s="249" t="s">
        <v>3036</v>
      </c>
      <c r="F2659">
        <v>2657</v>
      </c>
    </row>
    <row r="2660" spans="1:6" x14ac:dyDescent="0.25">
      <c r="A2660" t="s">
        <v>5765</v>
      </c>
      <c r="B2660" s="248">
        <v>501</v>
      </c>
      <c r="C2660" t="s">
        <v>5767</v>
      </c>
      <c r="D2660" t="s">
        <v>3053</v>
      </c>
      <c r="E2660" s="249" t="s">
        <v>3043</v>
      </c>
      <c r="F2660">
        <v>2658</v>
      </c>
    </row>
    <row r="2661" spans="1:6" x14ac:dyDescent="0.25">
      <c r="A2661" t="s">
        <v>5766</v>
      </c>
      <c r="B2661" s="248">
        <v>501</v>
      </c>
      <c r="C2661" t="s">
        <v>5768</v>
      </c>
      <c r="D2661" t="s">
        <v>3053</v>
      </c>
      <c r="E2661" s="249" t="s">
        <v>3043</v>
      </c>
      <c r="F2661">
        <v>2659</v>
      </c>
    </row>
    <row r="2662" spans="1:6" x14ac:dyDescent="0.25">
      <c r="A2662" t="s">
        <v>5581</v>
      </c>
      <c r="B2662" s="248">
        <v>500.5</v>
      </c>
      <c r="C2662" t="s">
        <v>5671</v>
      </c>
      <c r="D2662" t="s">
        <v>3053</v>
      </c>
      <c r="E2662" s="249" t="s">
        <v>3043</v>
      </c>
      <c r="F2662">
        <v>2660</v>
      </c>
    </row>
    <row r="2663" spans="1:6" x14ac:dyDescent="0.25">
      <c r="A2663" t="s">
        <v>5582</v>
      </c>
      <c r="B2663" s="248">
        <v>6948</v>
      </c>
      <c r="C2663" t="s">
        <v>5672</v>
      </c>
      <c r="D2663" t="s">
        <v>3053</v>
      </c>
      <c r="E2663" s="249" t="s">
        <v>3045</v>
      </c>
      <c r="F2663">
        <v>2661</v>
      </c>
    </row>
    <row r="2664" spans="1:6" x14ac:dyDescent="0.25">
      <c r="A2664" t="s">
        <v>5583</v>
      </c>
      <c r="B2664" s="248">
        <v>27785</v>
      </c>
      <c r="C2664" t="s">
        <v>5673</v>
      </c>
      <c r="D2664" t="s">
        <v>3053</v>
      </c>
      <c r="E2664" s="249" t="s">
        <v>3045</v>
      </c>
      <c r="F2664">
        <v>2662</v>
      </c>
    </row>
    <row r="2665" spans="1:6" x14ac:dyDescent="0.25">
      <c r="A2665" t="s">
        <v>5584</v>
      </c>
      <c r="B2665" s="248">
        <v>51449</v>
      </c>
      <c r="C2665" t="s">
        <v>5674</v>
      </c>
      <c r="D2665" t="s">
        <v>3053</v>
      </c>
      <c r="E2665" s="249" t="s">
        <v>3045</v>
      </c>
      <c r="F2665">
        <v>2663</v>
      </c>
    </row>
    <row r="2666" spans="1:6" x14ac:dyDescent="0.25">
      <c r="A2666" t="s">
        <v>5585</v>
      </c>
      <c r="B2666" s="248">
        <v>70472</v>
      </c>
      <c r="C2666" t="s">
        <v>5675</v>
      </c>
      <c r="D2666" t="s">
        <v>3053</v>
      </c>
      <c r="E2666" s="249" t="s">
        <v>3045</v>
      </c>
      <c r="F2666">
        <v>2664</v>
      </c>
    </row>
    <row r="2667" spans="1:6" x14ac:dyDescent="0.25">
      <c r="A2667" t="s">
        <v>5586</v>
      </c>
      <c r="B2667" s="248">
        <v>1183</v>
      </c>
      <c r="C2667" t="s">
        <v>5676</v>
      </c>
      <c r="D2667" t="s">
        <v>3053</v>
      </c>
      <c r="E2667" s="249" t="s">
        <v>3045</v>
      </c>
      <c r="F2667">
        <v>2665</v>
      </c>
    </row>
    <row r="2668" spans="1:6" x14ac:dyDescent="0.25">
      <c r="A2668" t="s">
        <v>5587</v>
      </c>
      <c r="B2668" s="248">
        <v>1183</v>
      </c>
      <c r="C2668" t="s">
        <v>5677</v>
      </c>
      <c r="D2668" t="s">
        <v>3053</v>
      </c>
      <c r="E2668" s="249" t="s">
        <v>3045</v>
      </c>
      <c r="F2668">
        <v>2666</v>
      </c>
    </row>
    <row r="2669" spans="1:6" x14ac:dyDescent="0.25">
      <c r="A2669" t="s">
        <v>5588</v>
      </c>
      <c r="B2669" s="248">
        <v>1367</v>
      </c>
      <c r="C2669" t="s">
        <v>5678</v>
      </c>
      <c r="D2669" t="s">
        <v>3053</v>
      </c>
      <c r="E2669" s="249" t="s">
        <v>3045</v>
      </c>
      <c r="F2669">
        <v>2667</v>
      </c>
    </row>
    <row r="2670" spans="1:6" x14ac:dyDescent="0.25">
      <c r="A2670" t="s">
        <v>5589</v>
      </c>
      <c r="B2670" s="248">
        <v>1416</v>
      </c>
      <c r="C2670" t="s">
        <v>5679</v>
      </c>
      <c r="D2670" t="s">
        <v>3053</v>
      </c>
      <c r="E2670" s="249" t="s">
        <v>3045</v>
      </c>
      <c r="F2670">
        <v>2668</v>
      </c>
    </row>
    <row r="2671" spans="1:6" x14ac:dyDescent="0.25">
      <c r="A2671" t="s">
        <v>5590</v>
      </c>
      <c r="B2671" s="248">
        <v>1416</v>
      </c>
      <c r="C2671" t="s">
        <v>5680</v>
      </c>
      <c r="D2671" t="s">
        <v>3053</v>
      </c>
      <c r="E2671" s="249" t="s">
        <v>3045</v>
      </c>
      <c r="F2671">
        <v>2669</v>
      </c>
    </row>
    <row r="2672" spans="1:6" x14ac:dyDescent="0.25">
      <c r="A2672" t="s">
        <v>5591</v>
      </c>
      <c r="B2672" s="248">
        <v>1605</v>
      </c>
      <c r="C2672" t="s">
        <v>5681</v>
      </c>
      <c r="D2672" t="s">
        <v>3053</v>
      </c>
      <c r="E2672" s="249" t="s">
        <v>3045</v>
      </c>
      <c r="F2672">
        <v>2670</v>
      </c>
    </row>
    <row r="2673" spans="1:6" x14ac:dyDescent="0.25">
      <c r="A2673" t="s">
        <v>5592</v>
      </c>
      <c r="B2673" s="248">
        <v>2887</v>
      </c>
      <c r="C2673" t="s">
        <v>5682</v>
      </c>
      <c r="D2673" t="s">
        <v>3053</v>
      </c>
      <c r="E2673" s="249" t="s">
        <v>3045</v>
      </c>
      <c r="F2673">
        <v>2671</v>
      </c>
    </row>
    <row r="2674" spans="1:6" x14ac:dyDescent="0.25">
      <c r="A2674" t="s">
        <v>5593</v>
      </c>
      <c r="B2674" s="248">
        <v>8350</v>
      </c>
      <c r="C2674" t="s">
        <v>5683</v>
      </c>
      <c r="D2674" t="s">
        <v>3053</v>
      </c>
      <c r="E2674" s="249" t="s">
        <v>3045</v>
      </c>
      <c r="F2674">
        <v>2672</v>
      </c>
    </row>
    <row r="2675" spans="1:6" x14ac:dyDescent="0.25">
      <c r="A2675" t="s">
        <v>5594</v>
      </c>
      <c r="B2675" s="248">
        <v>12505</v>
      </c>
      <c r="C2675" t="s">
        <v>5684</v>
      </c>
      <c r="D2675" t="s">
        <v>3053</v>
      </c>
      <c r="E2675" s="249" t="s">
        <v>3045</v>
      </c>
      <c r="F2675">
        <v>2673</v>
      </c>
    </row>
    <row r="2676" spans="1:6" x14ac:dyDescent="0.25">
      <c r="A2676" t="s">
        <v>5595</v>
      </c>
      <c r="B2676" s="248">
        <v>18410</v>
      </c>
      <c r="C2676" t="s">
        <v>5685</v>
      </c>
      <c r="D2676" t="s">
        <v>3053</v>
      </c>
      <c r="E2676" s="249" t="s">
        <v>3045</v>
      </c>
      <c r="F2676">
        <v>2674</v>
      </c>
    </row>
    <row r="2677" spans="1:6" x14ac:dyDescent="0.25">
      <c r="A2677" t="s">
        <v>5596</v>
      </c>
      <c r="B2677" s="248">
        <v>18410</v>
      </c>
      <c r="C2677" t="s">
        <v>5686</v>
      </c>
      <c r="D2677" t="s">
        <v>3053</v>
      </c>
      <c r="E2677" s="249" t="s">
        <v>3045</v>
      </c>
      <c r="F2677">
        <v>2675</v>
      </c>
    </row>
    <row r="2678" spans="1:6" x14ac:dyDescent="0.25">
      <c r="A2678" t="s">
        <v>5597</v>
      </c>
      <c r="B2678" s="248">
        <v>1330</v>
      </c>
      <c r="C2678" t="s">
        <v>5687</v>
      </c>
      <c r="D2678" t="s">
        <v>3053</v>
      </c>
      <c r="E2678" s="249" t="s">
        <v>3045</v>
      </c>
      <c r="F2678">
        <v>2676</v>
      </c>
    </row>
    <row r="2679" spans="1:6" x14ac:dyDescent="0.25">
      <c r="A2679" t="s">
        <v>5598</v>
      </c>
      <c r="B2679" s="248">
        <v>15979</v>
      </c>
      <c r="C2679" t="s">
        <v>5688</v>
      </c>
      <c r="D2679" t="s">
        <v>3053</v>
      </c>
      <c r="E2679" s="249" t="s">
        <v>3045</v>
      </c>
      <c r="F2679">
        <v>2677</v>
      </c>
    </row>
    <row r="2680" spans="1:6" x14ac:dyDescent="0.25">
      <c r="A2680" t="s">
        <v>5599</v>
      </c>
      <c r="B2680" s="248">
        <v>25062</v>
      </c>
      <c r="C2680" t="s">
        <v>5689</v>
      </c>
      <c r="D2680" t="s">
        <v>3053</v>
      </c>
      <c r="E2680" s="249" t="s">
        <v>3045</v>
      </c>
      <c r="F2680">
        <v>2678</v>
      </c>
    </row>
    <row r="2681" spans="1:6" x14ac:dyDescent="0.25">
      <c r="A2681" t="s">
        <v>5600</v>
      </c>
      <c r="B2681" s="248">
        <v>25062</v>
      </c>
      <c r="C2681" t="s">
        <v>5690</v>
      </c>
      <c r="D2681" t="s">
        <v>3053</v>
      </c>
      <c r="E2681" s="249" t="s">
        <v>3045</v>
      </c>
      <c r="F2681">
        <v>2679</v>
      </c>
    </row>
    <row r="2682" spans="1:6" x14ac:dyDescent="0.25">
      <c r="A2682" t="s">
        <v>5601</v>
      </c>
      <c r="B2682" s="248">
        <v>1330</v>
      </c>
      <c r="C2682" t="s">
        <v>5691</v>
      </c>
      <c r="D2682" t="s">
        <v>3053</v>
      </c>
      <c r="E2682" s="249" t="s">
        <v>3045</v>
      </c>
      <c r="F2682">
        <v>2680</v>
      </c>
    </row>
    <row r="2683" spans="1:6" x14ac:dyDescent="0.25">
      <c r="A2683" t="s">
        <v>5602</v>
      </c>
      <c r="B2683" s="248">
        <v>1330</v>
      </c>
      <c r="C2683" t="s">
        <v>5692</v>
      </c>
      <c r="D2683" t="s">
        <v>3053</v>
      </c>
      <c r="E2683" s="249" t="s">
        <v>3045</v>
      </c>
      <c r="F2683">
        <v>2681</v>
      </c>
    </row>
    <row r="2684" spans="1:6" x14ac:dyDescent="0.25">
      <c r="A2684" t="s">
        <v>5603</v>
      </c>
      <c r="B2684" s="248">
        <v>1595</v>
      </c>
      <c r="C2684" t="s">
        <v>5693</v>
      </c>
      <c r="D2684" t="s">
        <v>3053</v>
      </c>
      <c r="E2684" s="249" t="s">
        <v>3045</v>
      </c>
      <c r="F2684">
        <v>2682</v>
      </c>
    </row>
    <row r="2685" spans="1:6" x14ac:dyDescent="0.25">
      <c r="A2685" t="s">
        <v>5604</v>
      </c>
      <c r="B2685" s="248">
        <v>1595</v>
      </c>
      <c r="C2685" t="s">
        <v>5694</v>
      </c>
      <c r="D2685" t="s">
        <v>3053</v>
      </c>
      <c r="E2685" s="249" t="s">
        <v>3045</v>
      </c>
      <c r="F2685">
        <v>2683</v>
      </c>
    </row>
    <row r="2686" spans="1:6" x14ac:dyDescent="0.25">
      <c r="A2686" t="s">
        <v>5605</v>
      </c>
      <c r="B2686" s="248">
        <v>1595</v>
      </c>
      <c r="C2686" t="s">
        <v>5695</v>
      </c>
      <c r="D2686" t="s">
        <v>3053</v>
      </c>
      <c r="E2686" s="249" t="s">
        <v>3045</v>
      </c>
      <c r="F2686">
        <v>2684</v>
      </c>
    </row>
    <row r="2687" spans="1:6" x14ac:dyDescent="0.25">
      <c r="A2687" t="s">
        <v>5606</v>
      </c>
      <c r="B2687" s="248">
        <v>1774</v>
      </c>
      <c r="C2687" t="s">
        <v>5696</v>
      </c>
      <c r="D2687" t="s">
        <v>3053</v>
      </c>
      <c r="E2687" s="249" t="s">
        <v>3045</v>
      </c>
      <c r="F2687">
        <v>2685</v>
      </c>
    </row>
    <row r="2688" spans="1:6" x14ac:dyDescent="0.25">
      <c r="A2688" t="s">
        <v>5607</v>
      </c>
      <c r="B2688" s="248">
        <v>1774</v>
      </c>
      <c r="C2688" t="s">
        <v>5697</v>
      </c>
      <c r="D2688" t="s">
        <v>3053</v>
      </c>
      <c r="E2688" s="249" t="s">
        <v>3045</v>
      </c>
      <c r="F2688">
        <v>2686</v>
      </c>
    </row>
    <row r="2689" spans="1:6" x14ac:dyDescent="0.25">
      <c r="A2689" t="s">
        <v>5608</v>
      </c>
      <c r="B2689" s="248">
        <v>8675</v>
      </c>
      <c r="C2689" t="s">
        <v>5698</v>
      </c>
      <c r="D2689" t="s">
        <v>3053</v>
      </c>
      <c r="E2689" s="249" t="s">
        <v>3045</v>
      </c>
      <c r="F2689">
        <v>2687</v>
      </c>
    </row>
    <row r="2690" spans="1:6" x14ac:dyDescent="0.25">
      <c r="A2690" t="s">
        <v>5609</v>
      </c>
      <c r="B2690" s="248">
        <v>8675</v>
      </c>
      <c r="C2690" t="s">
        <v>5699</v>
      </c>
      <c r="D2690" t="s">
        <v>3053</v>
      </c>
      <c r="E2690" s="249" t="s">
        <v>3045</v>
      </c>
      <c r="F2690">
        <v>2688</v>
      </c>
    </row>
    <row r="2691" spans="1:6" x14ac:dyDescent="0.25">
      <c r="A2691" t="s">
        <v>5610</v>
      </c>
      <c r="B2691" s="248">
        <v>27279</v>
      </c>
      <c r="C2691" t="s">
        <v>5700</v>
      </c>
      <c r="D2691" t="s">
        <v>3053</v>
      </c>
      <c r="E2691" s="249" t="s">
        <v>3045</v>
      </c>
      <c r="F2691">
        <v>2689</v>
      </c>
    </row>
    <row r="2692" spans="1:6" x14ac:dyDescent="0.25">
      <c r="A2692" t="s">
        <v>5611</v>
      </c>
      <c r="B2692" s="248">
        <v>27279</v>
      </c>
      <c r="C2692" t="s">
        <v>5701</v>
      </c>
      <c r="D2692" t="s">
        <v>3053</v>
      </c>
      <c r="E2692" s="249" t="s">
        <v>3045</v>
      </c>
      <c r="F2692">
        <v>2690</v>
      </c>
    </row>
    <row r="2693" spans="1:6" x14ac:dyDescent="0.25">
      <c r="A2693" t="s">
        <v>5612</v>
      </c>
      <c r="B2693" s="248">
        <v>33450</v>
      </c>
      <c r="C2693" t="s">
        <v>5702</v>
      </c>
      <c r="D2693" t="s">
        <v>3053</v>
      </c>
      <c r="E2693" s="249" t="s">
        <v>3046</v>
      </c>
      <c r="F2693">
        <v>2691</v>
      </c>
    </row>
    <row r="2694" spans="1:6" x14ac:dyDescent="0.25">
      <c r="A2694" t="s">
        <v>5613</v>
      </c>
      <c r="B2694" s="248">
        <v>33450</v>
      </c>
      <c r="C2694" t="s">
        <v>5703</v>
      </c>
      <c r="D2694" t="s">
        <v>3053</v>
      </c>
      <c r="E2694" s="249" t="s">
        <v>3046</v>
      </c>
      <c r="F2694">
        <v>2692</v>
      </c>
    </row>
    <row r="2695" spans="1:6" x14ac:dyDescent="0.25">
      <c r="A2695" t="s">
        <v>5614</v>
      </c>
      <c r="B2695" s="248">
        <v>1666</v>
      </c>
      <c r="C2695" t="s">
        <v>5704</v>
      </c>
      <c r="D2695" t="s">
        <v>3053</v>
      </c>
      <c r="E2695" s="249" t="s">
        <v>3046</v>
      </c>
      <c r="F2695">
        <v>2693</v>
      </c>
    </row>
    <row r="2696" spans="1:6" x14ac:dyDescent="0.25">
      <c r="A2696" t="s">
        <v>5615</v>
      </c>
      <c r="B2696" s="248">
        <v>1666</v>
      </c>
      <c r="C2696" t="s">
        <v>5705</v>
      </c>
      <c r="D2696" t="s">
        <v>3053</v>
      </c>
      <c r="E2696" s="249" t="s">
        <v>3046</v>
      </c>
      <c r="F2696">
        <v>2694</v>
      </c>
    </row>
    <row r="2697" spans="1:6" x14ac:dyDescent="0.25">
      <c r="A2697" t="s">
        <v>5616</v>
      </c>
      <c r="B2697" s="248">
        <v>1878</v>
      </c>
      <c r="C2697" t="s">
        <v>5706</v>
      </c>
      <c r="D2697" t="s">
        <v>3053</v>
      </c>
      <c r="E2697" s="249" t="s">
        <v>3046</v>
      </c>
      <c r="F2697">
        <v>2695</v>
      </c>
    </row>
    <row r="2698" spans="1:6" x14ac:dyDescent="0.25">
      <c r="A2698" t="s">
        <v>5617</v>
      </c>
      <c r="B2698" s="248">
        <v>1861</v>
      </c>
      <c r="C2698" t="s">
        <v>5707</v>
      </c>
      <c r="D2698" t="s">
        <v>3053</v>
      </c>
      <c r="E2698" s="249" t="s">
        <v>3046</v>
      </c>
      <c r="F2698">
        <v>2696</v>
      </c>
    </row>
    <row r="2699" spans="1:6" x14ac:dyDescent="0.25">
      <c r="A2699" t="s">
        <v>5618</v>
      </c>
      <c r="B2699" s="248">
        <v>1861</v>
      </c>
      <c r="C2699" t="s">
        <v>5708</v>
      </c>
      <c r="D2699" t="s">
        <v>3053</v>
      </c>
      <c r="E2699" s="249" t="s">
        <v>3046</v>
      </c>
      <c r="F2699">
        <v>2697</v>
      </c>
    </row>
    <row r="2700" spans="1:6" x14ac:dyDescent="0.25">
      <c r="A2700" t="s">
        <v>5619</v>
      </c>
      <c r="B2700" s="248">
        <v>2701</v>
      </c>
      <c r="C2700" t="s">
        <v>5709</v>
      </c>
      <c r="D2700" t="s">
        <v>3053</v>
      </c>
      <c r="E2700" s="249" t="s">
        <v>3046</v>
      </c>
      <c r="F2700">
        <v>2698</v>
      </c>
    </row>
    <row r="2701" spans="1:6" x14ac:dyDescent="0.25">
      <c r="A2701" t="s">
        <v>5620</v>
      </c>
      <c r="B2701" s="248">
        <v>2701</v>
      </c>
      <c r="C2701" t="s">
        <v>5710</v>
      </c>
      <c r="D2701" t="s">
        <v>3053</v>
      </c>
      <c r="E2701" s="249" t="s">
        <v>3046</v>
      </c>
      <c r="F2701">
        <v>2699</v>
      </c>
    </row>
    <row r="2702" spans="1:6" x14ac:dyDescent="0.25">
      <c r="A2702" t="s">
        <v>5621</v>
      </c>
      <c r="B2702" s="248">
        <v>5579</v>
      </c>
      <c r="C2702" t="s">
        <v>5711</v>
      </c>
      <c r="D2702" t="s">
        <v>3053</v>
      </c>
      <c r="E2702" s="249" t="s">
        <v>3046</v>
      </c>
      <c r="F2702">
        <v>2700</v>
      </c>
    </row>
    <row r="2703" spans="1:6" x14ac:dyDescent="0.25">
      <c r="A2703" t="s">
        <v>5622</v>
      </c>
      <c r="B2703" s="248">
        <v>18431</v>
      </c>
      <c r="C2703" t="s">
        <v>5712</v>
      </c>
      <c r="D2703" t="s">
        <v>3053</v>
      </c>
      <c r="E2703" s="249" t="s">
        <v>3046</v>
      </c>
      <c r="F2703">
        <v>2701</v>
      </c>
    </row>
    <row r="2704" spans="1:6" x14ac:dyDescent="0.25">
      <c r="A2704" t="s">
        <v>5623</v>
      </c>
      <c r="B2704" s="248">
        <v>18431</v>
      </c>
      <c r="C2704" t="s">
        <v>5713</v>
      </c>
      <c r="D2704" t="s">
        <v>3053</v>
      </c>
      <c r="E2704" s="249" t="s">
        <v>3046</v>
      </c>
      <c r="F2704">
        <v>2702</v>
      </c>
    </row>
    <row r="2705" spans="1:6" x14ac:dyDescent="0.25">
      <c r="A2705" t="s">
        <v>5624</v>
      </c>
      <c r="B2705" s="248">
        <v>26912</v>
      </c>
      <c r="C2705" t="s">
        <v>5714</v>
      </c>
      <c r="D2705" t="s">
        <v>3053</v>
      </c>
      <c r="E2705" s="249" t="s">
        <v>3046</v>
      </c>
      <c r="F2705">
        <v>2703</v>
      </c>
    </row>
    <row r="2706" spans="1:6" x14ac:dyDescent="0.25">
      <c r="A2706" t="s">
        <v>5625</v>
      </c>
      <c r="B2706" s="248">
        <v>26912</v>
      </c>
      <c r="C2706" t="s">
        <v>5715</v>
      </c>
      <c r="D2706" t="s">
        <v>3053</v>
      </c>
      <c r="E2706" s="249" t="s">
        <v>3046</v>
      </c>
      <c r="F2706">
        <v>2704</v>
      </c>
    </row>
    <row r="2707" spans="1:6" x14ac:dyDescent="0.25">
      <c r="A2707" t="s">
        <v>5626</v>
      </c>
      <c r="B2707" s="248">
        <v>41827</v>
      </c>
      <c r="C2707" t="s">
        <v>5716</v>
      </c>
      <c r="D2707" t="s">
        <v>3053</v>
      </c>
      <c r="E2707" s="249" t="s">
        <v>3046</v>
      </c>
      <c r="F2707">
        <v>2705</v>
      </c>
    </row>
    <row r="2708" spans="1:6" x14ac:dyDescent="0.25">
      <c r="A2708" t="s">
        <v>5627</v>
      </c>
      <c r="B2708" s="248">
        <v>41827</v>
      </c>
      <c r="C2708" t="s">
        <v>5717</v>
      </c>
      <c r="D2708" t="s">
        <v>3053</v>
      </c>
      <c r="E2708" s="249" t="s">
        <v>3046</v>
      </c>
      <c r="F2708">
        <v>2706</v>
      </c>
    </row>
    <row r="2709" spans="1:6" x14ac:dyDescent="0.25">
      <c r="A2709" t="s">
        <v>5628</v>
      </c>
      <c r="B2709" s="248">
        <v>3095</v>
      </c>
      <c r="C2709" t="s">
        <v>5718</v>
      </c>
      <c r="D2709" t="s">
        <v>3053</v>
      </c>
      <c r="E2709" s="249" t="s">
        <v>3046</v>
      </c>
      <c r="F2709">
        <v>2707</v>
      </c>
    </row>
    <row r="2710" spans="1:6" x14ac:dyDescent="0.25">
      <c r="A2710" t="s">
        <v>5629</v>
      </c>
      <c r="B2710" s="248">
        <v>3095</v>
      </c>
      <c r="C2710" t="s">
        <v>5719</v>
      </c>
      <c r="D2710" t="s">
        <v>3053</v>
      </c>
      <c r="E2710" s="249" t="s">
        <v>3046</v>
      </c>
      <c r="F2710">
        <v>2708</v>
      </c>
    </row>
    <row r="2711" spans="1:6" x14ac:dyDescent="0.25">
      <c r="A2711" t="s">
        <v>5630</v>
      </c>
      <c r="B2711" s="248">
        <v>3393</v>
      </c>
      <c r="C2711" t="s">
        <v>5720</v>
      </c>
      <c r="D2711" t="s">
        <v>3053</v>
      </c>
      <c r="E2711" s="249" t="s">
        <v>3046</v>
      </c>
      <c r="F2711">
        <v>2709</v>
      </c>
    </row>
    <row r="2712" spans="1:6" x14ac:dyDescent="0.25">
      <c r="A2712" t="s">
        <v>5631</v>
      </c>
      <c r="B2712" s="248">
        <v>2820</v>
      </c>
      <c r="C2712" t="s">
        <v>5721</v>
      </c>
      <c r="D2712" t="s">
        <v>3053</v>
      </c>
      <c r="E2712" s="249" t="s">
        <v>3046</v>
      </c>
      <c r="F2712">
        <v>2710</v>
      </c>
    </row>
    <row r="2713" spans="1:6" x14ac:dyDescent="0.25">
      <c r="A2713" t="s">
        <v>5632</v>
      </c>
      <c r="B2713" s="248">
        <v>2820</v>
      </c>
      <c r="C2713" t="s">
        <v>5722</v>
      </c>
      <c r="D2713" t="s">
        <v>3053</v>
      </c>
      <c r="E2713" s="249" t="s">
        <v>3046</v>
      </c>
      <c r="F2713">
        <v>2711</v>
      </c>
    </row>
    <row r="2714" spans="1:6" x14ac:dyDescent="0.25">
      <c r="A2714" t="s">
        <v>5633</v>
      </c>
      <c r="B2714" s="248">
        <v>2618</v>
      </c>
      <c r="C2714" t="s">
        <v>5723</v>
      </c>
      <c r="D2714" t="s">
        <v>3053</v>
      </c>
      <c r="E2714" s="249" t="s">
        <v>3046</v>
      </c>
      <c r="F2714">
        <v>2712</v>
      </c>
    </row>
    <row r="2715" spans="1:6" x14ac:dyDescent="0.25">
      <c r="A2715" t="s">
        <v>5634</v>
      </c>
      <c r="B2715" s="248">
        <v>2618</v>
      </c>
      <c r="C2715" t="s">
        <v>5724</v>
      </c>
      <c r="D2715" t="s">
        <v>3053</v>
      </c>
      <c r="E2715" s="249" t="s">
        <v>3046</v>
      </c>
      <c r="F2715">
        <v>2713</v>
      </c>
    </row>
    <row r="2716" spans="1:6" x14ac:dyDescent="0.25">
      <c r="A2716" t="s">
        <v>5635</v>
      </c>
      <c r="B2716" s="248">
        <v>3996</v>
      </c>
      <c r="C2716" t="s">
        <v>5725</v>
      </c>
      <c r="D2716" t="s">
        <v>3053</v>
      </c>
      <c r="E2716" s="249" t="s">
        <v>3046</v>
      </c>
      <c r="F2716">
        <v>2714</v>
      </c>
    </row>
    <row r="2717" spans="1:6" x14ac:dyDescent="0.25">
      <c r="A2717" t="s">
        <v>5636</v>
      </c>
      <c r="B2717" s="248">
        <v>7083</v>
      </c>
      <c r="C2717" t="s">
        <v>5726</v>
      </c>
      <c r="D2717" t="s">
        <v>3053</v>
      </c>
      <c r="E2717" s="249" t="s">
        <v>3046</v>
      </c>
      <c r="F2717">
        <v>2715</v>
      </c>
    </row>
    <row r="2718" spans="1:6" x14ac:dyDescent="0.25">
      <c r="A2718" t="s">
        <v>5637</v>
      </c>
      <c r="B2718" s="248">
        <v>7083</v>
      </c>
      <c r="C2718" t="s">
        <v>5727</v>
      </c>
      <c r="D2718" t="s">
        <v>3053</v>
      </c>
      <c r="E2718" s="249" t="s">
        <v>3046</v>
      </c>
      <c r="F2718">
        <v>2716</v>
      </c>
    </row>
    <row r="2719" spans="1:6" x14ac:dyDescent="0.25">
      <c r="A2719" t="s">
        <v>5638</v>
      </c>
      <c r="B2719" s="248">
        <v>301</v>
      </c>
      <c r="C2719" t="s">
        <v>5728</v>
      </c>
      <c r="D2719" t="s">
        <v>3053</v>
      </c>
      <c r="E2719" s="249" t="s">
        <v>3047</v>
      </c>
      <c r="F2719">
        <v>2717</v>
      </c>
    </row>
    <row r="2720" spans="1:6" x14ac:dyDescent="0.25">
      <c r="A2720" t="s">
        <v>5639</v>
      </c>
      <c r="B2720" s="248">
        <v>787.5</v>
      </c>
      <c r="C2720" t="s">
        <v>5729</v>
      </c>
      <c r="D2720" t="s">
        <v>3053</v>
      </c>
      <c r="E2720" s="249" t="s">
        <v>3047</v>
      </c>
      <c r="F2720">
        <v>2718</v>
      </c>
    </row>
    <row r="2721" spans="1:6" x14ac:dyDescent="0.25">
      <c r="A2721" t="s">
        <v>5640</v>
      </c>
      <c r="B2721" s="248">
        <v>787.5</v>
      </c>
      <c r="C2721" t="s">
        <v>5730</v>
      </c>
      <c r="D2721" t="s">
        <v>3053</v>
      </c>
      <c r="E2721" s="249" t="s">
        <v>3047</v>
      </c>
      <c r="F2721">
        <v>2719</v>
      </c>
    </row>
    <row r="2722" spans="1:6" x14ac:dyDescent="0.25">
      <c r="A2722" t="s">
        <v>5641</v>
      </c>
      <c r="B2722" s="248">
        <v>8542</v>
      </c>
      <c r="C2722" t="s">
        <v>5731</v>
      </c>
      <c r="D2722" t="s">
        <v>3053</v>
      </c>
      <c r="E2722" s="249" t="s">
        <v>3047</v>
      </c>
      <c r="F2722">
        <v>2720</v>
      </c>
    </row>
    <row r="2723" spans="1:6" x14ac:dyDescent="0.25">
      <c r="A2723" t="s">
        <v>5642</v>
      </c>
      <c r="B2723" s="248">
        <v>18761</v>
      </c>
      <c r="C2723" t="s">
        <v>5732</v>
      </c>
      <c r="D2723" t="s">
        <v>3053</v>
      </c>
      <c r="E2723" s="249" t="s">
        <v>3047</v>
      </c>
      <c r="F2723">
        <v>2721</v>
      </c>
    </row>
    <row r="2724" spans="1:6" x14ac:dyDescent="0.25">
      <c r="A2724" t="s">
        <v>5643</v>
      </c>
      <c r="B2724" s="248">
        <v>3747</v>
      </c>
      <c r="C2724" t="s">
        <v>5733</v>
      </c>
      <c r="D2724" t="s">
        <v>3053</v>
      </c>
      <c r="E2724" s="249" t="s">
        <v>3047</v>
      </c>
      <c r="F2724">
        <v>2722</v>
      </c>
    </row>
    <row r="2725" spans="1:6" x14ac:dyDescent="0.25">
      <c r="A2725" t="s">
        <v>6000</v>
      </c>
      <c r="B2725" s="248">
        <v>5000</v>
      </c>
      <c r="C2725" t="s">
        <v>4558</v>
      </c>
      <c r="D2725" t="s">
        <v>4547</v>
      </c>
      <c r="E2725" s="249" t="s">
        <v>3036</v>
      </c>
      <c r="F2725">
        <v>2723</v>
      </c>
    </row>
    <row r="2726" spans="1:6" x14ac:dyDescent="0.25">
      <c r="A2726" t="s">
        <v>6001</v>
      </c>
      <c r="B2726" s="248">
        <v>5202</v>
      </c>
      <c r="C2726" t="s">
        <v>4559</v>
      </c>
      <c r="D2726" t="s">
        <v>4547</v>
      </c>
      <c r="E2726" s="249" t="s">
        <v>3036</v>
      </c>
      <c r="F2726">
        <v>2724</v>
      </c>
    </row>
    <row r="2727" spans="1:6" x14ac:dyDescent="0.25">
      <c r="A2727" t="s">
        <v>6002</v>
      </c>
      <c r="B2727" s="248">
        <v>7334</v>
      </c>
      <c r="C2727" t="s">
        <v>4560</v>
      </c>
      <c r="D2727" t="s">
        <v>4547</v>
      </c>
      <c r="E2727" s="249" t="s">
        <v>3036</v>
      </c>
      <c r="F2727">
        <v>2725</v>
      </c>
    </row>
    <row r="2728" spans="1:6" x14ac:dyDescent="0.25">
      <c r="A2728" t="s">
        <v>6003</v>
      </c>
      <c r="B2728" s="248">
        <v>9949</v>
      </c>
      <c r="C2728" t="s">
        <v>4561</v>
      </c>
      <c r="D2728" t="s">
        <v>4547</v>
      </c>
      <c r="E2728" s="249" t="s">
        <v>3036</v>
      </c>
      <c r="F2728">
        <v>2726</v>
      </c>
    </row>
    <row r="2729" spans="1:6" x14ac:dyDescent="0.25">
      <c r="A2729" t="s">
        <v>5997</v>
      </c>
      <c r="B2729" s="248">
        <v>875</v>
      </c>
      <c r="C2729" t="s">
        <v>4555</v>
      </c>
      <c r="D2729" t="s">
        <v>4547</v>
      </c>
      <c r="E2729" s="249" t="s">
        <v>3036</v>
      </c>
      <c r="F2729">
        <v>2727</v>
      </c>
    </row>
    <row r="2730" spans="1:6" x14ac:dyDescent="0.25">
      <c r="A2730" t="s">
        <v>6006</v>
      </c>
      <c r="B2730" s="248">
        <v>366.5</v>
      </c>
      <c r="C2730" t="s">
        <v>5069</v>
      </c>
      <c r="D2730" t="s">
        <v>4547</v>
      </c>
      <c r="E2730" s="249" t="s">
        <v>3036</v>
      </c>
      <c r="F2730">
        <v>2728</v>
      </c>
    </row>
    <row r="2731" spans="1:6" x14ac:dyDescent="0.25">
      <c r="A2731" t="s">
        <v>6005</v>
      </c>
      <c r="B2731" s="248">
        <v>516</v>
      </c>
      <c r="C2731" t="s">
        <v>4601</v>
      </c>
      <c r="D2731" t="s">
        <v>4547</v>
      </c>
      <c r="E2731" s="249" t="s">
        <v>3036</v>
      </c>
      <c r="F2731">
        <v>2729</v>
      </c>
    </row>
    <row r="2732" spans="1:6" x14ac:dyDescent="0.25">
      <c r="A2732" t="s">
        <v>5998</v>
      </c>
      <c r="B2732" s="248">
        <v>1439</v>
      </c>
      <c r="C2732" t="s">
        <v>4556</v>
      </c>
      <c r="D2732" t="s">
        <v>4547</v>
      </c>
      <c r="E2732" s="249" t="s">
        <v>3036</v>
      </c>
      <c r="F2732">
        <v>2730</v>
      </c>
    </row>
    <row r="2733" spans="1:6" x14ac:dyDescent="0.25">
      <c r="A2733" t="s">
        <v>6004</v>
      </c>
      <c r="B2733" s="248">
        <v>1838</v>
      </c>
      <c r="C2733" t="s">
        <v>4566</v>
      </c>
      <c r="D2733" t="s">
        <v>4547</v>
      </c>
      <c r="E2733" s="249" t="s">
        <v>3036</v>
      </c>
      <c r="F2733">
        <v>2731</v>
      </c>
    </row>
    <row r="2734" spans="1:6" x14ac:dyDescent="0.25">
      <c r="A2734" t="s">
        <v>5999</v>
      </c>
      <c r="B2734" s="248">
        <v>3125</v>
      </c>
      <c r="C2734" t="s">
        <v>4557</v>
      </c>
      <c r="D2734" t="s">
        <v>4547</v>
      </c>
      <c r="E2734" s="249" t="s">
        <v>3036</v>
      </c>
      <c r="F2734">
        <v>2732</v>
      </c>
    </row>
    <row r="2735" spans="1:6" x14ac:dyDescent="0.25">
      <c r="A2735" t="s">
        <v>5644</v>
      </c>
      <c r="B2735" s="248">
        <v>6683</v>
      </c>
      <c r="C2735" t="s">
        <v>5734</v>
      </c>
      <c r="D2735" t="s">
        <v>3053</v>
      </c>
      <c r="E2735" s="249" t="s">
        <v>3047</v>
      </c>
      <c r="F2735">
        <v>2733</v>
      </c>
    </row>
    <row r="2736" spans="1:6" x14ac:dyDescent="0.25">
      <c r="A2736" t="s">
        <v>5645</v>
      </c>
      <c r="B2736" s="248">
        <v>11583</v>
      </c>
      <c r="C2736" t="s">
        <v>5735</v>
      </c>
      <c r="D2736" t="s">
        <v>3053</v>
      </c>
      <c r="E2736" s="249" t="s">
        <v>3047</v>
      </c>
      <c r="F2736">
        <v>2734</v>
      </c>
    </row>
    <row r="2737" spans="1:6" x14ac:dyDescent="0.25">
      <c r="A2737" t="s">
        <v>5646</v>
      </c>
      <c r="B2737" s="248">
        <v>3202</v>
      </c>
      <c r="C2737" t="s">
        <v>5736</v>
      </c>
      <c r="D2737" t="s">
        <v>3053</v>
      </c>
      <c r="E2737" s="249" t="s">
        <v>3047</v>
      </c>
      <c r="F2737">
        <v>2735</v>
      </c>
    </row>
    <row r="2738" spans="1:6" x14ac:dyDescent="0.25">
      <c r="A2738" t="s">
        <v>5647</v>
      </c>
      <c r="B2738" s="248">
        <v>6138</v>
      </c>
      <c r="C2738" t="s">
        <v>5737</v>
      </c>
      <c r="D2738" t="s">
        <v>3053</v>
      </c>
      <c r="E2738" s="249" t="s">
        <v>3047</v>
      </c>
      <c r="F2738">
        <v>2736</v>
      </c>
    </row>
    <row r="2739" spans="1:6" x14ac:dyDescent="0.25">
      <c r="A2739" t="s">
        <v>5648</v>
      </c>
      <c r="B2739" s="248">
        <v>537.5</v>
      </c>
      <c r="C2739" t="s">
        <v>5738</v>
      </c>
      <c r="D2739" t="s">
        <v>3053</v>
      </c>
      <c r="E2739" s="249" t="s">
        <v>3048</v>
      </c>
      <c r="F2739">
        <v>2737</v>
      </c>
    </row>
    <row r="2740" spans="1:6" x14ac:dyDescent="0.25">
      <c r="A2740" t="s">
        <v>5649</v>
      </c>
      <c r="B2740" s="248">
        <v>537.5</v>
      </c>
      <c r="C2740" t="s">
        <v>5739</v>
      </c>
      <c r="D2740" t="s">
        <v>3053</v>
      </c>
      <c r="E2740" s="249" t="s">
        <v>3048</v>
      </c>
      <c r="F2740">
        <v>2738</v>
      </c>
    </row>
    <row r="2741" spans="1:6" x14ac:dyDescent="0.25">
      <c r="A2741" t="s">
        <v>5650</v>
      </c>
      <c r="B2741" s="248">
        <v>1491</v>
      </c>
      <c r="C2741" t="s">
        <v>5740</v>
      </c>
      <c r="D2741" t="s">
        <v>3053</v>
      </c>
      <c r="E2741" s="249" t="s">
        <v>3048</v>
      </c>
      <c r="F2741">
        <v>2739</v>
      </c>
    </row>
    <row r="2742" spans="1:6" x14ac:dyDescent="0.25">
      <c r="A2742" t="s">
        <v>5651</v>
      </c>
      <c r="B2742" s="248">
        <v>2138</v>
      </c>
      <c r="C2742" t="s">
        <v>5741</v>
      </c>
      <c r="D2742" t="s">
        <v>3053</v>
      </c>
      <c r="E2742" s="249" t="s">
        <v>3048</v>
      </c>
      <c r="F2742">
        <v>2740</v>
      </c>
    </row>
    <row r="2743" spans="1:6" x14ac:dyDescent="0.25">
      <c r="A2743" t="s">
        <v>5652</v>
      </c>
      <c r="B2743" s="248">
        <v>2138</v>
      </c>
      <c r="C2743" t="s">
        <v>5742</v>
      </c>
      <c r="D2743" t="s">
        <v>3053</v>
      </c>
      <c r="E2743" s="249" t="s">
        <v>3048</v>
      </c>
      <c r="F2743">
        <v>2741</v>
      </c>
    </row>
    <row r="2744" spans="1:6" x14ac:dyDescent="0.25">
      <c r="A2744" t="s">
        <v>5653</v>
      </c>
      <c r="B2744" s="248">
        <v>2746</v>
      </c>
      <c r="C2744" t="s">
        <v>5743</v>
      </c>
      <c r="D2744" t="s">
        <v>3053</v>
      </c>
      <c r="E2744" s="249" t="s">
        <v>3048</v>
      </c>
      <c r="F2744">
        <v>2742</v>
      </c>
    </row>
    <row r="2745" spans="1:6" x14ac:dyDescent="0.25">
      <c r="A2745" t="s">
        <v>5654</v>
      </c>
      <c r="B2745" s="248">
        <v>2746</v>
      </c>
      <c r="C2745" t="s">
        <v>5744</v>
      </c>
      <c r="D2745" t="s">
        <v>3053</v>
      </c>
      <c r="E2745" s="249" t="s">
        <v>3048</v>
      </c>
      <c r="F2745">
        <v>2743</v>
      </c>
    </row>
    <row r="2746" spans="1:6" x14ac:dyDescent="0.25">
      <c r="A2746" t="s">
        <v>5655</v>
      </c>
      <c r="B2746" s="248">
        <v>1071</v>
      </c>
      <c r="C2746" t="s">
        <v>5745</v>
      </c>
      <c r="D2746" t="s">
        <v>3053</v>
      </c>
      <c r="E2746" s="249" t="s">
        <v>3048</v>
      </c>
      <c r="F2746">
        <v>2744</v>
      </c>
    </row>
    <row r="2747" spans="1:6" x14ac:dyDescent="0.25">
      <c r="A2747" t="s">
        <v>5656</v>
      </c>
      <c r="B2747" s="248">
        <v>2215</v>
      </c>
      <c r="C2747" t="s">
        <v>5746</v>
      </c>
      <c r="D2747" t="s">
        <v>3053</v>
      </c>
      <c r="E2747" s="249" t="s">
        <v>3048</v>
      </c>
      <c r="F2747">
        <v>2745</v>
      </c>
    </row>
    <row r="2748" spans="1:6" x14ac:dyDescent="0.25">
      <c r="A2748" t="s">
        <v>5657</v>
      </c>
      <c r="B2748" s="248">
        <v>2138</v>
      </c>
      <c r="C2748" t="s">
        <v>5747</v>
      </c>
      <c r="D2748" t="s">
        <v>3053</v>
      </c>
      <c r="E2748" s="249" t="s">
        <v>3048</v>
      </c>
      <c r="F2748">
        <v>2746</v>
      </c>
    </row>
    <row r="2749" spans="1:6" x14ac:dyDescent="0.25">
      <c r="A2749" t="s">
        <v>5658</v>
      </c>
      <c r="B2749" s="248">
        <v>6248</v>
      </c>
      <c r="C2749" t="s">
        <v>5748</v>
      </c>
      <c r="D2749" t="s">
        <v>3053</v>
      </c>
      <c r="E2749" s="249" t="s">
        <v>3048</v>
      </c>
      <c r="F2749">
        <v>2747</v>
      </c>
    </row>
    <row r="2750" spans="1:6" x14ac:dyDescent="0.25">
      <c r="A2750" t="s">
        <v>5659</v>
      </c>
      <c r="B2750" s="248">
        <v>18272</v>
      </c>
      <c r="C2750" t="s">
        <v>5749</v>
      </c>
      <c r="D2750" t="s">
        <v>3053</v>
      </c>
      <c r="E2750" s="249" t="s">
        <v>3048</v>
      </c>
      <c r="F2750">
        <v>2748</v>
      </c>
    </row>
    <row r="2751" spans="1:6" x14ac:dyDescent="0.25">
      <c r="A2751" t="s">
        <v>5660</v>
      </c>
      <c r="B2751" s="248">
        <v>36537</v>
      </c>
      <c r="C2751" t="s">
        <v>5750</v>
      </c>
      <c r="D2751" t="s">
        <v>3053</v>
      </c>
      <c r="E2751" s="249" t="s">
        <v>3048</v>
      </c>
      <c r="F2751">
        <v>2749</v>
      </c>
    </row>
    <row r="2752" spans="1:6" x14ac:dyDescent="0.25">
      <c r="A2752" t="s">
        <v>5661</v>
      </c>
      <c r="B2752" s="248">
        <v>36537</v>
      </c>
      <c r="C2752" t="s">
        <v>5751</v>
      </c>
      <c r="D2752" t="s">
        <v>3053</v>
      </c>
      <c r="E2752" s="249" t="s">
        <v>3048</v>
      </c>
      <c r="F2752">
        <v>2750</v>
      </c>
    </row>
    <row r="2753" spans="1:6" x14ac:dyDescent="0.25">
      <c r="A2753" t="s">
        <v>5662</v>
      </c>
      <c r="B2753" s="248">
        <v>1623</v>
      </c>
      <c r="C2753" t="s">
        <v>5752</v>
      </c>
      <c r="D2753" t="s">
        <v>3053</v>
      </c>
      <c r="E2753" s="249" t="s">
        <v>3048</v>
      </c>
      <c r="F2753">
        <v>2751</v>
      </c>
    </row>
    <row r="2754" spans="1:6" x14ac:dyDescent="0.25">
      <c r="A2754" t="s">
        <v>5663</v>
      </c>
      <c r="B2754" s="248">
        <v>8533</v>
      </c>
      <c r="C2754" t="s">
        <v>5753</v>
      </c>
      <c r="D2754" t="s">
        <v>3053</v>
      </c>
      <c r="E2754" s="249" t="s">
        <v>3048</v>
      </c>
      <c r="F2754">
        <v>2752</v>
      </c>
    </row>
    <row r="2755" spans="1:6" x14ac:dyDescent="0.25">
      <c r="A2755" t="s">
        <v>5664</v>
      </c>
      <c r="B2755" s="248">
        <v>23770</v>
      </c>
      <c r="C2755" t="s">
        <v>5754</v>
      </c>
      <c r="D2755" t="s">
        <v>3053</v>
      </c>
      <c r="E2755" s="249" t="s">
        <v>3048</v>
      </c>
      <c r="F2755">
        <v>2753</v>
      </c>
    </row>
    <row r="2756" spans="1:6" x14ac:dyDescent="0.25">
      <c r="A2756" t="s">
        <v>5665</v>
      </c>
      <c r="B2756" s="248">
        <v>2791</v>
      </c>
      <c r="C2756" t="s">
        <v>5755</v>
      </c>
      <c r="D2756" t="s">
        <v>3053</v>
      </c>
      <c r="E2756" s="249" t="s">
        <v>3048</v>
      </c>
      <c r="F2756">
        <v>2754</v>
      </c>
    </row>
    <row r="2757" spans="1:6" x14ac:dyDescent="0.25">
      <c r="A2757" t="s">
        <v>5666</v>
      </c>
      <c r="B2757" s="248">
        <v>2791</v>
      </c>
      <c r="C2757" t="s">
        <v>5756</v>
      </c>
      <c r="D2757" t="s">
        <v>3053</v>
      </c>
      <c r="E2757" s="249" t="s">
        <v>3048</v>
      </c>
      <c r="F2757">
        <v>2755</v>
      </c>
    </row>
    <row r="2758" spans="1:6" x14ac:dyDescent="0.25">
      <c r="A2758" t="s">
        <v>5667</v>
      </c>
      <c r="B2758" s="248">
        <v>3148</v>
      </c>
      <c r="C2758" t="s">
        <v>5757</v>
      </c>
      <c r="D2758" t="s">
        <v>3053</v>
      </c>
      <c r="E2758" s="249" t="s">
        <v>3048</v>
      </c>
      <c r="F2758">
        <v>2756</v>
      </c>
    </row>
    <row r="2759" spans="1:6" x14ac:dyDescent="0.25">
      <c r="A2759" t="s">
        <v>5668</v>
      </c>
      <c r="B2759" s="248">
        <v>11724</v>
      </c>
      <c r="C2759" t="s">
        <v>5758</v>
      </c>
      <c r="D2759" t="s">
        <v>3053</v>
      </c>
      <c r="E2759" s="249" t="s">
        <v>3048</v>
      </c>
      <c r="F2759">
        <v>2757</v>
      </c>
    </row>
    <row r="2760" spans="1:6" x14ac:dyDescent="0.25">
      <c r="A2760" t="s">
        <v>5669</v>
      </c>
      <c r="B2760" s="248">
        <v>19519</v>
      </c>
      <c r="C2760" t="s">
        <v>5759</v>
      </c>
      <c r="D2760" t="s">
        <v>3053</v>
      </c>
      <c r="E2760" s="249" t="s">
        <v>3048</v>
      </c>
      <c r="F2760">
        <v>2758</v>
      </c>
    </row>
    <row r="2761" spans="1:6" x14ac:dyDescent="0.25">
      <c r="A2761" t="s">
        <v>5670</v>
      </c>
      <c r="B2761" s="248">
        <v>39574</v>
      </c>
      <c r="C2761" t="s">
        <v>5760</v>
      </c>
      <c r="D2761" t="s">
        <v>3053</v>
      </c>
      <c r="E2761" s="249" t="s">
        <v>3048</v>
      </c>
      <c r="F2761">
        <v>2759</v>
      </c>
    </row>
    <row r="2762" spans="1:6" x14ac:dyDescent="0.25">
      <c r="A2762" t="s">
        <v>6010</v>
      </c>
      <c r="B2762" s="248">
        <v>1507</v>
      </c>
      <c r="C2762" t="s">
        <v>6024</v>
      </c>
      <c r="D2762" t="s">
        <v>4547</v>
      </c>
      <c r="E2762" s="249" t="s">
        <v>3036</v>
      </c>
      <c r="F2762">
        <v>2760</v>
      </c>
    </row>
    <row r="2763" spans="1:6" x14ac:dyDescent="0.25">
      <c r="A2763" t="s">
        <v>6011</v>
      </c>
      <c r="B2763" s="248">
        <v>1708</v>
      </c>
      <c r="C2763" t="s">
        <v>6025</v>
      </c>
      <c r="D2763" t="s">
        <v>4547</v>
      </c>
      <c r="E2763" s="249" t="s">
        <v>3036</v>
      </c>
      <c r="F2763">
        <v>2761</v>
      </c>
    </row>
    <row r="2764" spans="1:6" x14ac:dyDescent="0.25">
      <c r="A2764" t="s">
        <v>6012</v>
      </c>
      <c r="B2764" s="248">
        <v>1648</v>
      </c>
      <c r="C2764" t="s">
        <v>6026</v>
      </c>
      <c r="D2764" t="s">
        <v>4547</v>
      </c>
      <c r="E2764" s="249" t="s">
        <v>3036</v>
      </c>
      <c r="F2764">
        <v>2762</v>
      </c>
    </row>
    <row r="2765" spans="1:6" x14ac:dyDescent="0.25">
      <c r="A2765" t="s">
        <v>6013</v>
      </c>
      <c r="B2765" s="248">
        <v>1847</v>
      </c>
      <c r="C2765" t="s">
        <v>6027</v>
      </c>
      <c r="D2765" t="s">
        <v>4547</v>
      </c>
      <c r="E2765" s="249" t="s">
        <v>3036</v>
      </c>
      <c r="F2765">
        <v>2763</v>
      </c>
    </row>
    <row r="2766" spans="1:6" x14ac:dyDescent="0.25">
      <c r="A2766" t="s">
        <v>6014</v>
      </c>
      <c r="B2766" s="248">
        <v>1854</v>
      </c>
      <c r="C2766" t="s">
        <v>6028</v>
      </c>
      <c r="D2766" t="s">
        <v>4547</v>
      </c>
      <c r="E2766" s="249" t="s">
        <v>3036</v>
      </c>
      <c r="F2766">
        <v>2764</v>
      </c>
    </row>
    <row r="2767" spans="1:6" x14ac:dyDescent="0.25">
      <c r="A2767" t="s">
        <v>6015</v>
      </c>
      <c r="B2767" s="248">
        <v>2051</v>
      </c>
      <c r="C2767" t="s">
        <v>6029</v>
      </c>
      <c r="D2767" t="s">
        <v>4547</v>
      </c>
      <c r="E2767" s="249" t="s">
        <v>3036</v>
      </c>
      <c r="F2767">
        <v>2765</v>
      </c>
    </row>
    <row r="2768" spans="1:6" x14ac:dyDescent="0.25">
      <c r="A2768" t="s">
        <v>6016</v>
      </c>
      <c r="B2768" s="248">
        <v>2454</v>
      </c>
      <c r="C2768" t="s">
        <v>6030</v>
      </c>
      <c r="D2768" t="s">
        <v>4547</v>
      </c>
      <c r="E2768" s="249" t="s">
        <v>3036</v>
      </c>
      <c r="F2768">
        <v>2766</v>
      </c>
    </row>
    <row r="2769" spans="1:6" x14ac:dyDescent="0.25">
      <c r="A2769" t="s">
        <v>6017</v>
      </c>
      <c r="B2769" s="248">
        <v>2660</v>
      </c>
      <c r="C2769" t="s">
        <v>6031</v>
      </c>
      <c r="D2769" t="s">
        <v>4547</v>
      </c>
      <c r="E2769" s="249" t="s">
        <v>3036</v>
      </c>
      <c r="F2769">
        <v>2767</v>
      </c>
    </row>
    <row r="2770" spans="1:6" x14ac:dyDescent="0.25">
      <c r="A2770" t="s">
        <v>6018</v>
      </c>
      <c r="B2770" s="248">
        <v>3359</v>
      </c>
      <c r="C2770" t="s">
        <v>6032</v>
      </c>
      <c r="D2770" t="s">
        <v>4547</v>
      </c>
      <c r="E2770" s="249" t="s">
        <v>3036</v>
      </c>
      <c r="F2770">
        <v>2768</v>
      </c>
    </row>
    <row r="2771" spans="1:6" x14ac:dyDescent="0.25">
      <c r="A2771" t="s">
        <v>6019</v>
      </c>
      <c r="B2771" s="248">
        <v>3544</v>
      </c>
      <c r="C2771" t="s">
        <v>6033</v>
      </c>
      <c r="D2771" t="s">
        <v>4547</v>
      </c>
      <c r="E2771" s="249" t="s">
        <v>3036</v>
      </c>
      <c r="F2771">
        <v>2769</v>
      </c>
    </row>
    <row r="2772" spans="1:6" x14ac:dyDescent="0.25">
      <c r="A2772" t="s">
        <v>6020</v>
      </c>
      <c r="B2772" s="248">
        <v>4924</v>
      </c>
      <c r="C2772" t="s">
        <v>6034</v>
      </c>
      <c r="D2772" t="s">
        <v>4547</v>
      </c>
      <c r="E2772" s="249" t="s">
        <v>3036</v>
      </c>
      <c r="F2772">
        <v>2770</v>
      </c>
    </row>
    <row r="2773" spans="1:6" x14ac:dyDescent="0.25">
      <c r="A2773" t="s">
        <v>6021</v>
      </c>
      <c r="B2773" s="248">
        <v>7583</v>
      </c>
      <c r="C2773" t="s">
        <v>6035</v>
      </c>
      <c r="D2773" t="s">
        <v>4547</v>
      </c>
      <c r="E2773" s="249" t="s">
        <v>3036</v>
      </c>
      <c r="F2773">
        <v>2771</v>
      </c>
    </row>
    <row r="2774" spans="1:6" x14ac:dyDescent="0.25">
      <c r="A2774" t="s">
        <v>6022</v>
      </c>
      <c r="B2774" s="248">
        <v>10319</v>
      </c>
      <c r="C2774" t="s">
        <v>6036</v>
      </c>
      <c r="D2774" t="s">
        <v>4547</v>
      </c>
      <c r="E2774" s="249" t="s">
        <v>3036</v>
      </c>
      <c r="F2774">
        <v>2772</v>
      </c>
    </row>
    <row r="2775" spans="1:6" x14ac:dyDescent="0.25">
      <c r="A2775" s="332" t="s">
        <v>6229</v>
      </c>
      <c r="B2775" s="248">
        <v>23.25</v>
      </c>
      <c r="C2775" t="s">
        <v>6295</v>
      </c>
      <c r="D2775" t="s">
        <v>3204</v>
      </c>
      <c r="E2775" s="249" t="s">
        <v>3036</v>
      </c>
      <c r="F2775">
        <v>2773</v>
      </c>
    </row>
    <row r="2776" spans="1:6" x14ac:dyDescent="0.25">
      <c r="A2776" s="332" t="s">
        <v>6318</v>
      </c>
      <c r="B2776" s="248">
        <v>448</v>
      </c>
      <c r="C2776" t="s">
        <v>6329</v>
      </c>
      <c r="D2776" t="s">
        <v>3204</v>
      </c>
      <c r="E2776" s="249" t="s">
        <v>3036</v>
      </c>
      <c r="F2776">
        <v>2774</v>
      </c>
    </row>
    <row r="2777" spans="1:6" x14ac:dyDescent="0.25">
      <c r="A2777" s="332" t="s">
        <v>6327</v>
      </c>
      <c r="B2777" s="248">
        <v>448</v>
      </c>
      <c r="C2777" t="s">
        <v>6328</v>
      </c>
      <c r="D2777" t="s">
        <v>3204</v>
      </c>
      <c r="E2777" s="249" t="s">
        <v>3036</v>
      </c>
      <c r="F2777">
        <v>2775</v>
      </c>
    </row>
    <row r="2778" spans="1:6" x14ac:dyDescent="0.25">
      <c r="A2778" s="332" t="s">
        <v>6230</v>
      </c>
      <c r="B2778" s="248">
        <v>57.75</v>
      </c>
      <c r="C2778" t="s">
        <v>6296</v>
      </c>
      <c r="D2778" t="s">
        <v>3204</v>
      </c>
      <c r="E2778" s="249" t="s">
        <v>3036</v>
      </c>
      <c r="F2778">
        <v>2776</v>
      </c>
    </row>
    <row r="2779" spans="1:6" x14ac:dyDescent="0.25">
      <c r="A2779" s="332" t="s">
        <v>6326</v>
      </c>
      <c r="B2779" s="248">
        <v>541</v>
      </c>
      <c r="C2779" t="s">
        <v>6330</v>
      </c>
      <c r="D2779" t="s">
        <v>3204</v>
      </c>
      <c r="E2779" s="249" t="s">
        <v>3036</v>
      </c>
      <c r="F2779">
        <v>2777</v>
      </c>
    </row>
    <row r="2780" spans="1:6" x14ac:dyDescent="0.25">
      <c r="A2780" s="332" t="s">
        <v>6325</v>
      </c>
      <c r="B2780" s="248">
        <v>541</v>
      </c>
      <c r="C2780" t="s">
        <v>6331</v>
      </c>
      <c r="D2780" t="s">
        <v>3204</v>
      </c>
      <c r="E2780" s="249" t="s">
        <v>3036</v>
      </c>
      <c r="F2780">
        <v>2778</v>
      </c>
    </row>
    <row r="2781" spans="1:6" x14ac:dyDescent="0.25">
      <c r="A2781" s="332" t="s">
        <v>6324</v>
      </c>
      <c r="B2781" s="248">
        <v>692</v>
      </c>
      <c r="C2781" t="s">
        <v>6332</v>
      </c>
      <c r="D2781" t="s">
        <v>3204</v>
      </c>
      <c r="E2781" s="249" t="s">
        <v>3036</v>
      </c>
      <c r="F2781">
        <v>2779</v>
      </c>
    </row>
    <row r="2782" spans="1:6" x14ac:dyDescent="0.25">
      <c r="A2782" s="332" t="s">
        <v>6231</v>
      </c>
      <c r="B2782" s="248">
        <v>104</v>
      </c>
      <c r="C2782" t="s">
        <v>6297</v>
      </c>
      <c r="D2782" t="s">
        <v>3204</v>
      </c>
      <c r="E2782" s="249" t="s">
        <v>3036</v>
      </c>
      <c r="F2782">
        <v>2780</v>
      </c>
    </row>
    <row r="2783" spans="1:6" x14ac:dyDescent="0.25">
      <c r="A2783" s="332" t="s">
        <v>6321</v>
      </c>
      <c r="B2783" s="248">
        <v>692</v>
      </c>
      <c r="C2783" t="s">
        <v>6333</v>
      </c>
      <c r="D2783" t="s">
        <v>3204</v>
      </c>
      <c r="E2783" s="249" t="s">
        <v>3036</v>
      </c>
      <c r="F2783">
        <v>2781</v>
      </c>
    </row>
    <row r="2784" spans="1:6" x14ac:dyDescent="0.25">
      <c r="A2784" s="332" t="s">
        <v>6322</v>
      </c>
      <c r="B2784" s="248">
        <v>845</v>
      </c>
      <c r="C2784" t="s">
        <v>6334</v>
      </c>
      <c r="D2784" t="s">
        <v>3204</v>
      </c>
      <c r="E2784" s="249" t="s">
        <v>3036</v>
      </c>
      <c r="F2784">
        <v>2782</v>
      </c>
    </row>
    <row r="2785" spans="1:6" x14ac:dyDescent="0.25">
      <c r="A2785" s="332" t="s">
        <v>6323</v>
      </c>
      <c r="B2785" s="248">
        <v>845</v>
      </c>
      <c r="C2785" t="s">
        <v>6335</v>
      </c>
      <c r="D2785" t="s">
        <v>3204</v>
      </c>
      <c r="E2785" s="249" t="s">
        <v>3036</v>
      </c>
      <c r="F2785">
        <v>2783</v>
      </c>
    </row>
    <row r="2786" spans="1:6" x14ac:dyDescent="0.25">
      <c r="A2786" s="332" t="s">
        <v>6319</v>
      </c>
      <c r="B2786" s="248">
        <v>1010</v>
      </c>
      <c r="C2786" t="s">
        <v>6336</v>
      </c>
      <c r="D2786" t="s">
        <v>3204</v>
      </c>
      <c r="E2786" s="249" t="s">
        <v>3036</v>
      </c>
      <c r="F2786">
        <v>2784</v>
      </c>
    </row>
    <row r="2787" spans="1:6" x14ac:dyDescent="0.25">
      <c r="A2787" s="332" t="s">
        <v>6320</v>
      </c>
      <c r="B2787" s="248">
        <v>1010</v>
      </c>
      <c r="C2787" t="s">
        <v>6337</v>
      </c>
      <c r="D2787" t="s">
        <v>3204</v>
      </c>
      <c r="E2787" s="249" t="s">
        <v>3036</v>
      </c>
      <c r="F2787">
        <v>2785</v>
      </c>
    </row>
    <row r="2788" spans="1:6" x14ac:dyDescent="0.25">
      <c r="A2788" s="332" t="s">
        <v>6237</v>
      </c>
      <c r="B2788" s="248">
        <v>32.5</v>
      </c>
      <c r="C2788" t="s">
        <v>6298</v>
      </c>
      <c r="D2788" t="s">
        <v>3204</v>
      </c>
      <c r="E2788" s="249" t="s">
        <v>3036</v>
      </c>
      <c r="F2788">
        <v>2786</v>
      </c>
    </row>
    <row r="2789" spans="1:6" x14ac:dyDescent="0.25">
      <c r="A2789" s="332" t="s">
        <v>6238</v>
      </c>
      <c r="B2789" s="248">
        <v>50</v>
      </c>
      <c r="C2789" t="s">
        <v>6299</v>
      </c>
      <c r="D2789" t="s">
        <v>3204</v>
      </c>
      <c r="E2789" s="249" t="s">
        <v>3036</v>
      </c>
      <c r="F2789">
        <v>2787</v>
      </c>
    </row>
    <row r="2790" spans="1:6" x14ac:dyDescent="0.25">
      <c r="A2790" s="332" t="s">
        <v>6239</v>
      </c>
      <c r="B2790" s="248">
        <v>69.5</v>
      </c>
      <c r="C2790" t="s">
        <v>6300</v>
      </c>
      <c r="D2790" t="s">
        <v>3204</v>
      </c>
      <c r="E2790" s="249" t="s">
        <v>3036</v>
      </c>
      <c r="F2790">
        <v>2788</v>
      </c>
    </row>
    <row r="2791" spans="1:6" x14ac:dyDescent="0.25">
      <c r="A2791" s="332" t="s">
        <v>6240</v>
      </c>
      <c r="B2791" s="248">
        <v>123</v>
      </c>
      <c r="C2791" t="s">
        <v>6301</v>
      </c>
      <c r="D2791" t="s">
        <v>3204</v>
      </c>
      <c r="E2791" s="249" t="s">
        <v>3036</v>
      </c>
      <c r="F2791">
        <v>2789</v>
      </c>
    </row>
    <row r="2792" spans="1:6" x14ac:dyDescent="0.25">
      <c r="A2792" s="332" t="s">
        <v>6241</v>
      </c>
      <c r="B2792" s="248">
        <v>181.5</v>
      </c>
      <c r="C2792" t="s">
        <v>6302</v>
      </c>
      <c r="D2792" t="s">
        <v>3204</v>
      </c>
      <c r="E2792" s="249" t="s">
        <v>3036</v>
      </c>
      <c r="F2792">
        <v>2790</v>
      </c>
    </row>
    <row r="2793" spans="1:6" x14ac:dyDescent="0.25">
      <c r="A2793" s="332" t="s">
        <v>6242</v>
      </c>
      <c r="B2793" s="248">
        <v>181.5</v>
      </c>
      <c r="C2793" t="s">
        <v>6303</v>
      </c>
      <c r="D2793" t="s">
        <v>3204</v>
      </c>
      <c r="E2793" s="249" t="s">
        <v>3036</v>
      </c>
      <c r="F2793">
        <v>2791</v>
      </c>
    </row>
  </sheetData>
  <autoFilter ref="A2:F2793" xr:uid="{5F77C464-FA32-41E6-9210-984A255AAF13}"/>
  <hyperlinks>
    <hyperlink ref="A1" location="'Table of Contents'!A1" display="Return Home" xr:uid="{8E430E79-03F4-427D-B005-6E6675CB8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017-A9D2-4D93-B59A-0514AB7C59FC}">
  <sheetPr codeName="Sheet2"/>
  <dimension ref="A1:E168"/>
  <sheetViews>
    <sheetView showGridLines="0" zoomScale="90" zoomScaleNormal="90" workbookViewId="0"/>
  </sheetViews>
  <sheetFormatPr defaultRowHeight="15" x14ac:dyDescent="0.25"/>
  <cols>
    <col min="1" max="1" width="22.140625" customWidth="1"/>
    <col min="4" max="4" width="12.28515625" customWidth="1"/>
  </cols>
  <sheetData>
    <row r="1" spans="1:5" ht="18" x14ac:dyDescent="0.25">
      <c r="A1" s="240" t="s">
        <v>0</v>
      </c>
    </row>
    <row r="2" spans="1:5" x14ac:dyDescent="0.25">
      <c r="A2" s="249" t="s">
        <v>5578</v>
      </c>
    </row>
    <row r="4" spans="1:5" ht="18" x14ac:dyDescent="0.25">
      <c r="A4" s="239" t="s">
        <v>1</v>
      </c>
    </row>
    <row r="5" spans="1:5" ht="15.75" x14ac:dyDescent="0.25">
      <c r="A5" s="48"/>
      <c r="D5" s="176"/>
    </row>
    <row r="6" spans="1:5" s="69" customFormat="1" ht="15.75" x14ac:dyDescent="0.25">
      <c r="A6" s="217" t="s">
        <v>2</v>
      </c>
      <c r="D6" s="226"/>
      <c r="E6"/>
    </row>
    <row r="7" spans="1:5" x14ac:dyDescent="0.25">
      <c r="A7" s="278" t="s">
        <v>3</v>
      </c>
      <c r="D7" s="227"/>
    </row>
    <row r="8" spans="1:5" x14ac:dyDescent="0.25">
      <c r="A8" s="249" t="s">
        <v>4</v>
      </c>
    </row>
    <row r="9" spans="1:5" x14ac:dyDescent="0.25">
      <c r="A9" s="249" t="s">
        <v>3019</v>
      </c>
    </row>
    <row r="10" spans="1:5" x14ac:dyDescent="0.25">
      <c r="A10" s="249" t="s">
        <v>5</v>
      </c>
    </row>
    <row r="11" spans="1:5" x14ac:dyDescent="0.25">
      <c r="A11" s="238"/>
    </row>
    <row r="12" spans="1:5" x14ac:dyDescent="0.25">
      <c r="A12" s="238"/>
    </row>
    <row r="13" spans="1:5" ht="15.75" x14ac:dyDescent="0.25">
      <c r="A13" s="217" t="s">
        <v>6</v>
      </c>
    </row>
    <row r="14" spans="1:5" x14ac:dyDescent="0.25">
      <c r="A14" s="249" t="s">
        <v>7</v>
      </c>
    </row>
    <row r="15" spans="1:5" x14ac:dyDescent="0.25">
      <c r="A15" s="249" t="s">
        <v>8</v>
      </c>
    </row>
    <row r="16" spans="1:5" x14ac:dyDescent="0.25">
      <c r="A16" s="249" t="s">
        <v>9</v>
      </c>
    </row>
    <row r="17" spans="1:1" x14ac:dyDescent="0.25">
      <c r="A17" s="238"/>
    </row>
    <row r="18" spans="1:1" x14ac:dyDescent="0.25">
      <c r="A18" s="238"/>
    </row>
    <row r="19" spans="1:1" ht="15.75" x14ac:dyDescent="0.25">
      <c r="A19" s="217" t="s">
        <v>10</v>
      </c>
    </row>
    <row r="20" spans="1:1" x14ac:dyDescent="0.25">
      <c r="A20" s="249" t="s">
        <v>11</v>
      </c>
    </row>
    <row r="21" spans="1:1" x14ac:dyDescent="0.25">
      <c r="A21" s="249" t="s">
        <v>12</v>
      </c>
    </row>
    <row r="22" spans="1:1" x14ac:dyDescent="0.25">
      <c r="A22" s="249" t="s">
        <v>13</v>
      </c>
    </row>
    <row r="23" spans="1:1" x14ac:dyDescent="0.25">
      <c r="A23" s="249" t="s">
        <v>14</v>
      </c>
    </row>
    <row r="24" spans="1:1" x14ac:dyDescent="0.25">
      <c r="A24" s="249" t="s">
        <v>15</v>
      </c>
    </row>
    <row r="25" spans="1:1" x14ac:dyDescent="0.25">
      <c r="A25" s="249" t="s">
        <v>16</v>
      </c>
    </row>
    <row r="26" spans="1:1" x14ac:dyDescent="0.25">
      <c r="A26" s="249" t="s">
        <v>17</v>
      </c>
    </row>
    <row r="27" spans="1:1" x14ac:dyDescent="0.25">
      <c r="A27" s="249" t="s">
        <v>18</v>
      </c>
    </row>
    <row r="28" spans="1:1" x14ac:dyDescent="0.25">
      <c r="A28" s="249" t="s">
        <v>19</v>
      </c>
    </row>
    <row r="29" spans="1:1" x14ac:dyDescent="0.25">
      <c r="A29" s="249" t="s">
        <v>20</v>
      </c>
    </row>
    <row r="30" spans="1:1" x14ac:dyDescent="0.25">
      <c r="A30" s="249" t="s">
        <v>21</v>
      </c>
    </row>
    <row r="31" spans="1:1" x14ac:dyDescent="0.25">
      <c r="A31" s="238"/>
    </row>
    <row r="32" spans="1:1" ht="15.75" x14ac:dyDescent="0.25">
      <c r="A32" s="217" t="s">
        <v>22</v>
      </c>
    </row>
    <row r="33" spans="1:1" x14ac:dyDescent="0.25">
      <c r="A33" s="249" t="s">
        <v>23</v>
      </c>
    </row>
    <row r="34" spans="1:1" x14ac:dyDescent="0.25">
      <c r="A34" s="249" t="s">
        <v>24</v>
      </c>
    </row>
    <row r="35" spans="1:1" x14ac:dyDescent="0.25">
      <c r="A35" s="249" t="s">
        <v>25</v>
      </c>
    </row>
    <row r="36" spans="1:1" x14ac:dyDescent="0.25">
      <c r="A36" s="249" t="s">
        <v>26</v>
      </c>
    </row>
    <row r="37" spans="1:1" x14ac:dyDescent="0.25">
      <c r="A37" s="249" t="s">
        <v>27</v>
      </c>
    </row>
    <row r="38" spans="1:1" x14ac:dyDescent="0.25">
      <c r="A38" s="249" t="s">
        <v>28</v>
      </c>
    </row>
    <row r="39" spans="1:1" x14ac:dyDescent="0.25">
      <c r="A39" s="249" t="s">
        <v>29</v>
      </c>
    </row>
    <row r="40" spans="1:1" x14ac:dyDescent="0.25">
      <c r="A40" s="249" t="s">
        <v>30</v>
      </c>
    </row>
    <row r="41" spans="1:1" x14ac:dyDescent="0.25">
      <c r="A41" s="238"/>
    </row>
    <row r="42" spans="1:1" ht="18" x14ac:dyDescent="0.25">
      <c r="A42" s="239" t="s">
        <v>31</v>
      </c>
    </row>
    <row r="43" spans="1:1" x14ac:dyDescent="0.25">
      <c r="A43" s="238"/>
    </row>
    <row r="44" spans="1:1" ht="15.75" x14ac:dyDescent="0.25">
      <c r="A44" s="217" t="s">
        <v>2</v>
      </c>
    </row>
    <row r="45" spans="1:1" x14ac:dyDescent="0.25">
      <c r="A45" s="249" t="s">
        <v>1307</v>
      </c>
    </row>
    <row r="46" spans="1:1" x14ac:dyDescent="0.25">
      <c r="A46" s="249" t="s">
        <v>2995</v>
      </c>
    </row>
    <row r="47" spans="1:1" x14ac:dyDescent="0.25">
      <c r="A47" s="249" t="s">
        <v>2996</v>
      </c>
    </row>
    <row r="48" spans="1:1" x14ac:dyDescent="0.25">
      <c r="A48" s="249" t="s">
        <v>2997</v>
      </c>
    </row>
    <row r="49" spans="1:1" x14ac:dyDescent="0.25">
      <c r="A49" s="249" t="s">
        <v>1606</v>
      </c>
    </row>
    <row r="51" spans="1:1" ht="15.75" x14ac:dyDescent="0.25">
      <c r="A51" s="217" t="s">
        <v>10</v>
      </c>
    </row>
    <row r="52" spans="1:1" x14ac:dyDescent="0.25">
      <c r="A52" s="249" t="s">
        <v>2998</v>
      </c>
    </row>
    <row r="53" spans="1:1" x14ac:dyDescent="0.25">
      <c r="A53" s="249" t="s">
        <v>1640</v>
      </c>
    </row>
    <row r="54" spans="1:1" x14ac:dyDescent="0.25">
      <c r="A54" s="249" t="s">
        <v>1664</v>
      </c>
    </row>
    <row r="55" spans="1:1" x14ac:dyDescent="0.25">
      <c r="A55" s="249" t="s">
        <v>2999</v>
      </c>
    </row>
    <row r="56" spans="1:1" x14ac:dyDescent="0.25">
      <c r="A56" s="249" t="s">
        <v>3000</v>
      </c>
    </row>
    <row r="58" spans="1:1" ht="15.75" x14ac:dyDescent="0.25">
      <c r="A58" s="217" t="s">
        <v>22</v>
      </c>
    </row>
    <row r="59" spans="1:1" x14ac:dyDescent="0.25">
      <c r="A59" s="249" t="s">
        <v>1789</v>
      </c>
    </row>
    <row r="60" spans="1:1" x14ac:dyDescent="0.25">
      <c r="A60" s="249" t="s">
        <v>1826</v>
      </c>
    </row>
    <row r="61" spans="1:1" x14ac:dyDescent="0.25">
      <c r="A61" s="249" t="s">
        <v>1860</v>
      </c>
    </row>
    <row r="62" spans="1:1" x14ac:dyDescent="0.25">
      <c r="A62" s="238"/>
    </row>
    <row r="63" spans="1:1" ht="18" x14ac:dyDescent="0.25">
      <c r="A63" s="239" t="s">
        <v>3001</v>
      </c>
    </row>
    <row r="64" spans="1:1" x14ac:dyDescent="0.25">
      <c r="A64" s="238"/>
    </row>
    <row r="65" spans="1:1" ht="15.75" x14ac:dyDescent="0.25">
      <c r="A65" s="217" t="s">
        <v>2</v>
      </c>
    </row>
    <row r="66" spans="1:1" x14ac:dyDescent="0.25">
      <c r="A66" s="249" t="s">
        <v>1879</v>
      </c>
    </row>
    <row r="67" spans="1:1" x14ac:dyDescent="0.25">
      <c r="A67" s="249" t="s">
        <v>3002</v>
      </c>
    </row>
    <row r="68" spans="1:1" x14ac:dyDescent="0.25">
      <c r="A68" s="249" t="s">
        <v>1895</v>
      </c>
    </row>
    <row r="70" spans="1:1" ht="15.75" x14ac:dyDescent="0.25">
      <c r="A70" s="217" t="s">
        <v>10</v>
      </c>
    </row>
    <row r="71" spans="1:1" x14ac:dyDescent="0.25">
      <c r="A71" s="249" t="s">
        <v>3003</v>
      </c>
    </row>
    <row r="72" spans="1:1" x14ac:dyDescent="0.25">
      <c r="A72" s="249" t="s">
        <v>3004</v>
      </c>
    </row>
    <row r="73" spans="1:1" x14ac:dyDescent="0.25">
      <c r="A73" s="249" t="s">
        <v>3005</v>
      </c>
    </row>
    <row r="74" spans="1:1" x14ac:dyDescent="0.25">
      <c r="A74" s="249" t="s">
        <v>3006</v>
      </c>
    </row>
    <row r="75" spans="1:1" x14ac:dyDescent="0.25">
      <c r="A75" s="249" t="s">
        <v>3007</v>
      </c>
    </row>
    <row r="77" spans="1:1" ht="15.75" x14ac:dyDescent="0.25">
      <c r="A77" s="217" t="s">
        <v>10</v>
      </c>
    </row>
    <row r="78" spans="1:1" x14ac:dyDescent="0.25">
      <c r="A78" s="249" t="s">
        <v>3008</v>
      </c>
    </row>
    <row r="79" spans="1:1" x14ac:dyDescent="0.25">
      <c r="A79" s="249" t="s">
        <v>3009</v>
      </c>
    </row>
    <row r="80" spans="1:1" x14ac:dyDescent="0.25">
      <c r="A80" s="249" t="s">
        <v>3010</v>
      </c>
    </row>
    <row r="81" spans="1:1" x14ac:dyDescent="0.25">
      <c r="A81" s="249" t="s">
        <v>3011</v>
      </c>
    </row>
    <row r="82" spans="1:1" x14ac:dyDescent="0.25">
      <c r="A82" s="249" t="s">
        <v>3012</v>
      </c>
    </row>
    <row r="84" spans="1:1" ht="18" x14ac:dyDescent="0.25">
      <c r="A84" s="239" t="s">
        <v>3013</v>
      </c>
    </row>
    <row r="85" spans="1:1" x14ac:dyDescent="0.25">
      <c r="A85" s="238"/>
    </row>
    <row r="86" spans="1:1" ht="15.75" x14ac:dyDescent="0.25">
      <c r="A86" s="217" t="s">
        <v>3014</v>
      </c>
    </row>
    <row r="87" spans="1:1" x14ac:dyDescent="0.25">
      <c r="A87" s="249" t="s">
        <v>2064</v>
      </c>
    </row>
    <row r="88" spans="1:1" x14ac:dyDescent="0.25">
      <c r="A88" s="238"/>
    </row>
    <row r="89" spans="1:1" ht="15.75" x14ac:dyDescent="0.25">
      <c r="A89" s="217" t="s">
        <v>3015</v>
      </c>
    </row>
    <row r="90" spans="1:1" x14ac:dyDescent="0.25">
      <c r="A90" s="249" t="s">
        <v>2077</v>
      </c>
    </row>
    <row r="92" spans="1:1" ht="18" x14ac:dyDescent="0.25">
      <c r="A92" s="239" t="s">
        <v>3016</v>
      </c>
    </row>
    <row r="93" spans="1:1" x14ac:dyDescent="0.25">
      <c r="A93" s="238"/>
    </row>
    <row r="94" spans="1:1" ht="15.75" x14ac:dyDescent="0.25">
      <c r="A94" s="217" t="s">
        <v>3017</v>
      </c>
    </row>
    <row r="95" spans="1:1" x14ac:dyDescent="0.25">
      <c r="A95" s="249" t="s">
        <v>2084</v>
      </c>
    </row>
    <row r="96" spans="1:1" x14ac:dyDescent="0.25">
      <c r="A96" s="249" t="s">
        <v>2177</v>
      </c>
    </row>
    <row r="97" spans="1:1" x14ac:dyDescent="0.25">
      <c r="A97" s="249" t="s">
        <v>2216</v>
      </c>
    </row>
    <row r="99" spans="1:1" ht="18" x14ac:dyDescent="0.25">
      <c r="A99" s="239" t="s">
        <v>3018</v>
      </c>
    </row>
    <row r="100" spans="1:1" x14ac:dyDescent="0.25">
      <c r="A100" s="238"/>
    </row>
    <row r="101" spans="1:1" ht="15.75" x14ac:dyDescent="0.25">
      <c r="A101" s="217" t="s">
        <v>3017</v>
      </c>
    </row>
    <row r="102" spans="1:1" x14ac:dyDescent="0.25">
      <c r="A102" s="249" t="s">
        <v>3022</v>
      </c>
    </row>
    <row r="103" spans="1:1" x14ac:dyDescent="0.25">
      <c r="A103" s="249" t="s">
        <v>3023</v>
      </c>
    </row>
    <row r="104" spans="1:1" x14ac:dyDescent="0.25">
      <c r="A104" s="238"/>
    </row>
    <row r="105" spans="1:1" ht="18" x14ac:dyDescent="0.25">
      <c r="A105" s="239" t="s">
        <v>3020</v>
      </c>
    </row>
    <row r="106" spans="1:1" x14ac:dyDescent="0.25">
      <c r="A106" s="238"/>
    </row>
    <row r="107" spans="1:1" ht="15.75" x14ac:dyDescent="0.25">
      <c r="A107" s="217" t="s">
        <v>3017</v>
      </c>
    </row>
    <row r="108" spans="1:1" x14ac:dyDescent="0.25">
      <c r="A108" s="249" t="s">
        <v>3021</v>
      </c>
    </row>
    <row r="109" spans="1:1" x14ac:dyDescent="0.25">
      <c r="A109" s="249" t="s">
        <v>2341</v>
      </c>
    </row>
    <row r="110" spans="1:1" x14ac:dyDescent="0.25">
      <c r="A110" s="249" t="s">
        <v>3024</v>
      </c>
    </row>
    <row r="112" spans="1:1" ht="15.75" x14ac:dyDescent="0.25">
      <c r="A112" s="217" t="s">
        <v>3025</v>
      </c>
    </row>
    <row r="113" spans="1:1" x14ac:dyDescent="0.25">
      <c r="A113" s="249" t="s">
        <v>2341</v>
      </c>
    </row>
    <row r="114" spans="1:1" x14ac:dyDescent="0.25">
      <c r="A114" s="249" t="s">
        <v>3026</v>
      </c>
    </row>
    <row r="116" spans="1:1" ht="15.75" x14ac:dyDescent="0.25">
      <c r="A116" s="217" t="s">
        <v>3027</v>
      </c>
    </row>
    <row r="117" spans="1:1" x14ac:dyDescent="0.25">
      <c r="A117" s="249" t="s">
        <v>2341</v>
      </c>
    </row>
    <row r="118" spans="1:1" x14ac:dyDescent="0.25">
      <c r="A118" s="249" t="s">
        <v>3026</v>
      </c>
    </row>
    <row r="120" spans="1:1" ht="18" x14ac:dyDescent="0.25">
      <c r="A120" s="239" t="s">
        <v>3028</v>
      </c>
    </row>
    <row r="121" spans="1:1" x14ac:dyDescent="0.25">
      <c r="A121" s="238"/>
    </row>
    <row r="122" spans="1:1" ht="15.75" x14ac:dyDescent="0.25">
      <c r="A122" s="217" t="s">
        <v>3017</v>
      </c>
    </row>
    <row r="123" spans="1:1" x14ac:dyDescent="0.25">
      <c r="A123" s="249" t="s">
        <v>3029</v>
      </c>
    </row>
    <row r="124" spans="1:1" x14ac:dyDescent="0.25">
      <c r="A124" s="249" t="s">
        <v>2604</v>
      </c>
    </row>
    <row r="125" spans="1:1" x14ac:dyDescent="0.25">
      <c r="A125" s="249" t="s">
        <v>3030</v>
      </c>
    </row>
    <row r="126" spans="1:1" x14ac:dyDescent="0.25">
      <c r="A126" s="249" t="s">
        <v>3031</v>
      </c>
    </row>
    <row r="127" spans="1:1" x14ac:dyDescent="0.25">
      <c r="A127" s="249" t="s">
        <v>3032</v>
      </c>
    </row>
    <row r="128" spans="1:1" x14ac:dyDescent="0.25">
      <c r="A128" s="249" t="s">
        <v>3033</v>
      </c>
    </row>
    <row r="129" spans="1:1" x14ac:dyDescent="0.25">
      <c r="A129" s="249" t="s">
        <v>3034</v>
      </c>
    </row>
    <row r="131" spans="1:1" ht="15.75" x14ac:dyDescent="0.25">
      <c r="A131" s="217" t="s">
        <v>3025</v>
      </c>
    </row>
    <row r="132" spans="1:1" x14ac:dyDescent="0.25">
      <c r="A132" s="249" t="s">
        <v>3030</v>
      </c>
    </row>
    <row r="133" spans="1:1" x14ac:dyDescent="0.25">
      <c r="A133" s="249" t="s">
        <v>3031</v>
      </c>
    </row>
    <row r="134" spans="1:1" x14ac:dyDescent="0.25">
      <c r="A134" s="249" t="s">
        <v>3032</v>
      </c>
    </row>
    <row r="135" spans="1:1" x14ac:dyDescent="0.25">
      <c r="A135" s="249" t="s">
        <v>3033</v>
      </c>
    </row>
    <row r="136" spans="1:1" x14ac:dyDescent="0.25">
      <c r="A136" s="249" t="s">
        <v>3034</v>
      </c>
    </row>
    <row r="138" spans="1:1" ht="15.75" x14ac:dyDescent="0.25">
      <c r="A138" s="217" t="s">
        <v>3027</v>
      </c>
    </row>
    <row r="139" spans="1:1" x14ac:dyDescent="0.25">
      <c r="A139" s="249" t="s">
        <v>3030</v>
      </c>
    </row>
    <row r="140" spans="1:1" x14ac:dyDescent="0.25">
      <c r="A140" s="249" t="s">
        <v>3031</v>
      </c>
    </row>
    <row r="141" spans="1:1" x14ac:dyDescent="0.25">
      <c r="A141" s="249" t="s">
        <v>3032</v>
      </c>
    </row>
    <row r="142" spans="1:1" x14ac:dyDescent="0.25">
      <c r="A142" s="249" t="s">
        <v>3033</v>
      </c>
    </row>
    <row r="143" spans="1:1" x14ac:dyDescent="0.25">
      <c r="A143" s="249" t="s">
        <v>3034</v>
      </c>
    </row>
    <row r="145" spans="1:1" ht="18" x14ac:dyDescent="0.25">
      <c r="A145" s="239" t="s">
        <v>3035</v>
      </c>
    </row>
    <row r="146" spans="1:1" x14ac:dyDescent="0.25">
      <c r="A146" s="238"/>
    </row>
    <row r="147" spans="1:1" ht="15.75" x14ac:dyDescent="0.25">
      <c r="A147" s="217" t="s">
        <v>3017</v>
      </c>
    </row>
    <row r="148" spans="1:1" x14ac:dyDescent="0.25">
      <c r="A148" s="249" t="s">
        <v>2485</v>
      </c>
    </row>
    <row r="149" spans="1:1" x14ac:dyDescent="0.25">
      <c r="A149" s="249" t="s">
        <v>2500</v>
      </c>
    </row>
    <row r="150" spans="1:1" x14ac:dyDescent="0.25">
      <c r="A150" s="238"/>
    </row>
    <row r="151" spans="1:1" ht="15.75" x14ac:dyDescent="0.25">
      <c r="A151" s="217" t="s">
        <v>3025</v>
      </c>
    </row>
    <row r="152" spans="1:1" x14ac:dyDescent="0.25">
      <c r="A152" s="249" t="s">
        <v>2507</v>
      </c>
    </row>
    <row r="153" spans="1:1" x14ac:dyDescent="0.25">
      <c r="A153" s="249" t="s">
        <v>2519</v>
      </c>
    </row>
    <row r="154" spans="1:1" x14ac:dyDescent="0.25">
      <c r="A154" s="249" t="s">
        <v>2534</v>
      </c>
    </row>
    <row r="155" spans="1:1" x14ac:dyDescent="0.25">
      <c r="A155" s="249" t="s">
        <v>2544</v>
      </c>
    </row>
    <row r="156" spans="1:1" x14ac:dyDescent="0.25">
      <c r="A156" s="249" t="s">
        <v>2551</v>
      </c>
    </row>
    <row r="158" spans="1:1" ht="15.75" x14ac:dyDescent="0.25">
      <c r="A158" s="217" t="s">
        <v>3027</v>
      </c>
    </row>
    <row r="159" spans="1:1" x14ac:dyDescent="0.25">
      <c r="A159" s="249" t="s">
        <v>2557</v>
      </c>
    </row>
    <row r="160" spans="1:1" x14ac:dyDescent="0.25">
      <c r="A160" s="249" t="s">
        <v>2569</v>
      </c>
    </row>
    <row r="162" spans="1:1" ht="18" x14ac:dyDescent="0.25">
      <c r="A162" s="239" t="s">
        <v>3036</v>
      </c>
    </row>
    <row r="163" spans="1:1" x14ac:dyDescent="0.25">
      <c r="A163" s="238"/>
    </row>
    <row r="164" spans="1:1" ht="15.75" x14ac:dyDescent="0.25">
      <c r="A164" s="217" t="s">
        <v>3017</v>
      </c>
    </row>
    <row r="165" spans="1:1" x14ac:dyDescent="0.25">
      <c r="A165" s="249" t="s">
        <v>2759</v>
      </c>
    </row>
    <row r="167" spans="1:1" ht="15.75" x14ac:dyDescent="0.25">
      <c r="A167" s="217" t="s">
        <v>3025</v>
      </c>
    </row>
    <row r="168" spans="1:1" x14ac:dyDescent="0.25">
      <c r="A168" s="249" t="s">
        <v>2781</v>
      </c>
    </row>
  </sheetData>
  <hyperlinks>
    <hyperlink ref="A7" location="'Table of Contents'!A2" display="Model 11M and 11M-N" xr:uid="{43B2BE29-A2AC-46EA-B439-ADFCA385BC09}"/>
    <hyperlink ref="A8" location="'Iron Wye Strainers'!A140" display="Model 251" xr:uid="{B26F07E2-F00C-4E69-9C5E-71223C1C7C98}"/>
    <hyperlink ref="A9" location="'Iron Wye Strainers'!A261" display="Model 758, 758G and 758-N" xr:uid="{FF700727-AC58-4791-863A-9EFEC9AA2427}"/>
    <hyperlink ref="A10" location="'Iron Wye Strainers'!A491" display="Model 752 and 752-N" xr:uid="{66E88E47-B57E-4D02-B2A8-50AA7EBA855D}"/>
    <hyperlink ref="A14" location="'Bronze Wye Strainers'!A2" display="Model LF351 and LF351-N" xr:uid="{2CE82741-AC99-48EA-9C51-FCF9243473D2}"/>
    <hyperlink ref="A15" location="'Bronze Wye Strainers'!A120" display="Model LF352 and LF352-N" xr:uid="{20BE99F5-3449-46C4-B443-C1493C4B6730}"/>
    <hyperlink ref="A16" location="'Bronze Wye Strainers'!A227" display="Model LF358 and LF358-N" xr:uid="{29AC93B4-74F1-4C55-97E9-C2A2F955B199}"/>
    <hyperlink ref="A20" location="'Carbon Steel Wye Strainers'!A2" display="Model 581CS and 581CS-N" xr:uid="{6ED36BA1-D89B-49C0-9938-45E46F0BF638}"/>
    <hyperlink ref="A21" location="'Carbon Steel Wye Strainers'!A107" display="Model 582CS and 582CS-N" xr:uid="{16BFC612-0A77-47EB-B51D-40A5AEFF9899}"/>
    <hyperlink ref="A22" location="'Carbon Steel Wye Strainers'!A206" display="Model 861CS" xr:uid="{3E41A93B-9C22-401E-9269-C6E92CDEFE72}"/>
    <hyperlink ref="A23" location="'Carbon Steel Wye Strainers'!A219" display="Model 862CS" xr:uid="{07BCD194-9AFD-4E85-846A-323F06BCCFDF}"/>
    <hyperlink ref="A24" location="'Carbon Steel Wye Strainers'!A294" display="Model 863M" xr:uid="{5AE31BB6-35F8-43FF-865C-D80CF5075623}"/>
    <hyperlink ref="A25" location="'Carbon Steel Wye Strainers'!A305" display="Model 864M" xr:uid="{E3181024-4A65-42EA-BFE9-C88E7C4A3ED6}"/>
    <hyperlink ref="A26" location="'Carbon Steel Wye Strainers'!A341" display="Model 781CS and 781CS-N" xr:uid="{82F350B7-1E4E-4179-8979-143B022CCEB5}"/>
    <hyperlink ref="A27" location="'Carbon Steel Wye Strainers'!A420" display="Model 781-WE" xr:uid="{22B58379-C01F-4447-85FD-AB258F07B5EB}"/>
    <hyperlink ref="A28" location="'Carbon Steel Wye Strainers'!A621" display="Model 782CS and 782CS-N" xr:uid="{BE813420-B889-4E5B-A125-E220353F3BA8}"/>
    <hyperlink ref="A29" location="'Carbon Steel Wye Strainers'!A697" display="Model 782-WE" xr:uid="{92BE0FB1-F630-4E39-825D-147EB61A34C6}"/>
    <hyperlink ref="A30" location="'Carbon Steel Wye Strainers'!A900" display="Model 764" xr:uid="{27469D5A-8AF7-4EC6-9045-668C136CF7B2}"/>
    <hyperlink ref="A33" location="'Stainless Steel Wye Strainer'!A2" display="Model 581SS and 581SS-N" xr:uid="{DF825ACD-84E6-4071-BC8B-19017315592D}"/>
    <hyperlink ref="A34" location="'Stainless Steel Wye Strainer'!A107" display="Model 582SS and 582SS-N" xr:uid="{A1640B18-0139-44EC-8D72-63C4B158C638}"/>
    <hyperlink ref="A35" location="'Stainless Steel Wye Strainer'!A212" display="Model 861SS" xr:uid="{1FF6F1CE-E008-4287-8856-05FF20047271}"/>
    <hyperlink ref="A36" location="'Stainless Steel Wye Strainer'!A225" display="Model 862SS" xr:uid="{D45F482B-0EDC-4569-ADC4-D0DEAC5ECDC4}"/>
    <hyperlink ref="A37" location="'Stainless Steel Wye Strainer'!A299" display="Model 781SS" xr:uid="{2F62F603-4F76-48D2-8F21-7439DD8F3D8D}"/>
    <hyperlink ref="A38" location="'Stainless Steel Wye Strainer'!A499" display="Model 781SS-WE" xr:uid="{85229F23-C636-4666-9047-313FB7D70B2D}"/>
    <hyperlink ref="A39" location="'Stainless Steel Wye Strainer'!A535" display="Model 782SS" xr:uid="{A4ED1937-6251-4D7E-9B64-2B492B3B97B8}"/>
    <hyperlink ref="A40" location="'Stainless Steel Wye Strainer'!A579" display="Model 782SS-WE" xr:uid="{DCEFE90A-3DBE-4767-B87D-28B15C1328C4}"/>
    <hyperlink ref="A45" location="'Iron Simplex Basket Strainers'!A2" display="Model 125 and 125-N" xr:uid="{99E16BF8-6388-4685-A856-331DDEEC9668}"/>
    <hyperlink ref="A46" location="'Iron Simplex Basket Strainers'!A125" display="Model 125F and 125F-N" xr:uid="{746B60CC-231E-4324-AC8B-B1C1C75F4020}"/>
    <hyperlink ref="A47" location="'Iron Simplex Basket Strainers'!A282" display="Model 155M and 155M-N" xr:uid="{BC8FF281-5FD4-4CFE-BF1A-8D80FE442F51}"/>
    <hyperlink ref="A48" location="'Iron Simplex Basket Strainers'!A407" display="Model 165 and 1650N" xr:uid="{FCA0AD3C-70E3-4192-9EB8-3E151C275949}"/>
    <hyperlink ref="A49" location="'Iron Simplex Basket Strainers'!A536" display="Model 166-DI" xr:uid="{9CBF8C02-480D-478B-BF07-16FEF63620F9}"/>
    <hyperlink ref="A52" location="'Carbon Steel Simplex Basket '!A2" display="Model 125-CS " xr:uid="{C6E073C4-9FEE-44CD-8D98-6655A8F1997F}"/>
    <hyperlink ref="A53" location="'Carbon Steel Simplex Basket '!A110" display="Model 125F-CS" xr:uid="{13E146DF-C27B-4474-BBD4-974D5632D451}"/>
    <hyperlink ref="A54" location="'Carbon Steel Simplex Basket '!A241" display="Model 126F-CS" xr:uid="{F1EC8D33-B970-4116-B70D-CE6A1DEF1CF7}"/>
    <hyperlink ref="A55" location="'Carbon Steel Simplex Basket '!A336" display="Model 185CS and 185CS-N" xr:uid="{AA6044DE-4A60-468C-A3EB-379578A1F514}"/>
    <hyperlink ref="A56" location="'Carbon Steel Simplex Basket '!A453" display="Model 186CS" xr:uid="{215B225E-1888-430C-A66A-0F0C2E74F011}"/>
    <hyperlink ref="A59" location="'Stainless Steel Simplex Basket'!A2" display="Model 125-SS" xr:uid="{AF408727-F8C2-4EB4-85EF-11FB3637329E}"/>
    <hyperlink ref="A60" location="'Stainless Steel Simplex Basket'!A102" display="Model 125F-SS" xr:uid="{250C8A99-6205-457A-B4AA-2468B754AC7D}"/>
    <hyperlink ref="A61" location="'Stainless Steel Simplex Basket'!A255" display="Model 185F-SS" xr:uid="{ED9F7795-516F-4456-9D1C-0FCF80F3631E}"/>
    <hyperlink ref="A66" location="'Duplex Basket Strainers'!A2" display="Model 791S" xr:uid="{0F49A4EE-F87E-49E3-9269-C0A148FCCFE7}"/>
    <hyperlink ref="A67" location="'Duplex Basket Strainers'!A14" display="Model 791F and 791MF" xr:uid="{04256A5E-5A40-4EDA-8430-8ADCD574B481}"/>
    <hyperlink ref="A68" location="'Duplex Basket Strainers'!A28" display="Model 691MF" xr:uid="{558602C4-599D-4A8C-9FB4-F2BD33466D7D}"/>
    <hyperlink ref="A71" location="'Duplex Basket Strainers'!A38" display="Model 792S-DH" xr:uid="{4571E1D8-A38B-4F87-BACD-FF397494AA4E}"/>
    <hyperlink ref="A72" location="'Duplex Basket Strainers'!A58" display="Model 792F-DH and 792MF-DH" xr:uid="{8839ACC7-5255-4EFC-8FA4-B9680E3934B2}"/>
    <hyperlink ref="A73" location="'Duplex Basket Strainers'!A81" display="Model 692MF-DH" xr:uid="{42062E49-35BD-4610-B597-2E0BEB662B33}"/>
    <hyperlink ref="A74" location="'Duplex Basket Strainers'!A96" display="Model 794S-DH" xr:uid="{A74A8A91-F5DF-430C-9D02-3A8CA0C77E2C}"/>
    <hyperlink ref="A75" location="'Duplex Basket Strainers'!A111" display="Model 794F-DH and 794MF-DH" xr:uid="{B3F31208-97B5-459A-B62A-70A927FEDFF3}"/>
    <hyperlink ref="A78" location="'Duplex Basket Strainers'!A38" display="Model 792S-HH" xr:uid="{FF7A3056-F327-42AC-94FF-0F9DB33FE01E}"/>
    <hyperlink ref="A79" location="'Duplex Basket Strainers'!A58" display="Model 792F-HH and 792MF-HH" xr:uid="{7BC0A4EF-32B3-48E4-8C93-0248AB149DEE}"/>
    <hyperlink ref="A80" location="'Duplex Basket Strainers'!A81" display="Model 692MF-HH" xr:uid="{5A278E67-6C77-4E5F-AEF7-EE8D167BE8C0}"/>
    <hyperlink ref="A81" location="'Duplex Basket Strainers'!A96" display="Model 794S-HH" xr:uid="{AD9BD13D-82C1-4F84-A81F-E2B13188B3C8}"/>
    <hyperlink ref="A82" location="'Duplex Basket Strainers'!A111" display="Model 794F-HH and 794MF-HH" xr:uid="{8655DBD5-72F7-4383-B168-9B691F0C4E7C}"/>
    <hyperlink ref="A87" location="'UL Fireline Strainers'!A2" display="Model 911U" xr:uid="{DA497A4E-FB73-4449-B552-AB69AEF2BD19}"/>
    <hyperlink ref="A90" location="'UL Fireline Strainers'!A15" display="Model 595" xr:uid="{190D78E9-09F5-4442-A21E-7DC239DBF36A}"/>
    <hyperlink ref="A95" location="'Suction Diffusers'!A2" display="Model 1011" xr:uid="{7961F6C6-B985-46EF-97E3-6ECAB2217542}"/>
    <hyperlink ref="A96" location="'Suction Diffusers'!A37" display="Model 1012" xr:uid="{7EFDCE70-3E37-4BBF-ADF8-870545E55569}"/>
    <hyperlink ref="A97" location="'Suction Diffusers'!A63" display="Model 1011G" xr:uid="{27A28835-9CF0-43EC-A065-832CD5182209}"/>
    <hyperlink ref="A102" location="'Triple Duty Valves'!A2" display="Model 721 and 721-N" xr:uid="{DF15AD35-D1A6-4111-B9EF-FAD159626F77}"/>
    <hyperlink ref="A103" location="'Triple Duty Valves'!A36" display="Model 722, 722G and 722-N" xr:uid="{784316D8-DAF7-4585-BAD6-F1FE05501628}"/>
    <hyperlink ref="A108" location="'Double Disc Check Valves'!A2" display="Model 71, 71-N, and 71U" xr:uid="{132D18F5-6D88-45E2-8A72-FB32C931F838}"/>
    <hyperlink ref="A109" location="'Double Disc Check Valves'!A56" display="Model 72" xr:uid="{7E7BEA7F-539B-4402-833D-A2C8C629DCD6}"/>
    <hyperlink ref="A110" location="'Double Disc Check Valves'!A128" display="Model 74 and Model 74G" xr:uid="{538AC527-5AE4-4816-8084-0E90E8FA028B}"/>
    <hyperlink ref="A113" location="'Double Disc Check Valves'!A56" display="Model 72" xr:uid="{3B982058-C8F7-4F40-8E38-2F75E607BF13}"/>
    <hyperlink ref="A114" location="'Double Disc Check Valves'!A128" display="Model 74 " xr:uid="{F7FD9428-B225-43E1-864F-572C5C62FD32}"/>
    <hyperlink ref="A117" location="'Double Disc Check Valves'!A56" display="Model 72" xr:uid="{E6E25027-AA40-4123-8BDD-9E5B3F0C4129}"/>
    <hyperlink ref="A118" location="'Double Disc Check Valves'!A128" display="Model 74 " xr:uid="{6B99AEEF-19AA-417F-8EFD-BE5F493EDDE6}"/>
    <hyperlink ref="A123" location="'Silent Check Valves'!A2" display="Model 91A, 92A, 91A-N, and 92A-N" xr:uid="{BE7AD901-B4C8-4840-A820-BAA04A2C2193}"/>
    <hyperlink ref="A124" location="'Silent Check Valves'!A32" display="Model 303" xr:uid="{5789ED59-3482-4808-A55A-FA91840AC638}"/>
    <hyperlink ref="A125" location="'Silent Check Valves'!A45" display="Model 101M" xr:uid="{F18D354F-FBE1-4D50-8C7F-9A2342524557}"/>
    <hyperlink ref="A126" location="'Silent Check Valves'!A90" display="Model 105M and 105M-N" xr:uid="{714EABBD-4CA3-457B-933F-FB637C429DE5}"/>
    <hyperlink ref="A127" location="'Silent Check Valves'!A152" display="Model 103M" xr:uid="{E9846760-B264-4948-894C-C7D9B1F3E134}"/>
    <hyperlink ref="A128" location="'Silent Check Valves'!A188" display="Model 107M" xr:uid="{B2BAC4EE-95FF-442F-8AC8-19DC8D85FB64}"/>
    <hyperlink ref="A129" location="'Silent Check Valves'!A206" display="Model 109M" xr:uid="{006385AC-86C9-4BE6-B9C3-B013086DD22E}"/>
    <hyperlink ref="A132" location="'Silent Check Valves'!A45" display="Model 101M" xr:uid="{46F6C000-25D6-45B7-AA36-959B109F4593}"/>
    <hyperlink ref="A133" location="'Silent Check Valves'!A90" display="Model 105M and 105M-N" xr:uid="{1C754542-8517-4BBD-838E-A82492EFAE62}"/>
    <hyperlink ref="A134" location="'Silent Check Valves'!A152" display="Model 103M" xr:uid="{A4B43ABF-2E36-41C9-8F3A-5F44A3E4F34A}"/>
    <hyperlink ref="A135" location="'Silent Check Valves'!A188" display="Model 107M" xr:uid="{3CD48E4C-0317-4364-8E1D-EC684770D307}"/>
    <hyperlink ref="A136" location="'Silent Check Valves'!A206" display="Model 109M" xr:uid="{0B25D943-4E6D-4FA6-8FBE-08103F408086}"/>
    <hyperlink ref="A139" location="'Silent Check Valves'!A45" display="Model 101M" xr:uid="{45C5D3B6-2866-4123-A0EB-25F19FF8E2DF}"/>
    <hyperlink ref="A140" location="'Silent Check Valves'!A90" display="Model 105M and 105M-N" xr:uid="{9EFB1C1B-B73D-4E38-88E3-2B01A5D7332F}"/>
    <hyperlink ref="A141" location="'Silent Check Valves'!A152" display="Model 103M" xr:uid="{3A987A4C-8D81-4CBA-B7A6-54B9D4CCFD04}"/>
    <hyperlink ref="A142" location="'Silent Check Valves'!A188" display="Model 107M" xr:uid="{083D8D36-5E60-48DF-896C-ED74B19640B1}"/>
    <hyperlink ref="A143" location="'Silent Check Valves'!A206" display="Model 109M" xr:uid="{827D0D58-FE68-4A14-BCA5-5C47621EC2B3}"/>
    <hyperlink ref="A148" location="'CHEXTER Check Valv'!A2" display="Model 1600D" xr:uid="{A182C635-F634-40DF-ACE5-86AB73EB9A84}"/>
    <hyperlink ref="A149" location="'CHEXTER Check Valv'!A78" display="Model 1602D" xr:uid="{8807FE3A-4F6C-4982-967F-02166750A8DF}"/>
    <hyperlink ref="A152" location="'CHEXTER Check Valv'!A118" display="Model 1601A" xr:uid="{4CA19957-2656-4AA3-9DAC-1CCF3A019026}"/>
    <hyperlink ref="A153" location="'CHEXTER Check Valv'!A182" display="Model 1601AC" xr:uid="{A8563BC6-3B2B-4855-8709-E32ED1C1F63A}"/>
    <hyperlink ref="A154" location="'CHEXTER Check Valv'!A246" display="Model 1603AC" xr:uid="{9A64E9B8-6995-48D5-A343-9600F117670E}"/>
    <hyperlink ref="A155" location="'CHEXTER Check Valv'!A310" display="Model 1605A" xr:uid="{013CA19D-CFA6-4B98-B868-80F704733FFC}"/>
    <hyperlink ref="A156" location="'CHEXTER Check Valv'!A362" display="Model 1605AC" xr:uid="{86C8668F-BC0F-49A9-BDE1-A34A17E95BE6}"/>
    <hyperlink ref="A159" location="'CHEXTER Check Valv'!A425" display="Model 1601C" xr:uid="{85EB7C3A-8515-406C-95CD-41DD2FC6A22B}"/>
    <hyperlink ref="A160" location="'CHEXTER Check Valv'!A489" display="Model 1603C" xr:uid="{D1920644-6972-4C50-92A9-9AA87E6380CA}"/>
    <hyperlink ref="A165" location="'Butterfly Valves'!A2" display="Model 88" xr:uid="{399E9DDD-7A45-4787-B571-A25B25B8B140}"/>
    <hyperlink ref="A168" location="'Butterfly Valves'!A32" display="Model 90" xr:uid="{B1AE6421-D427-4054-94CF-543C4F1FC39E}"/>
    <hyperlink ref="A2" location="Index!A1" display="Index" xr:uid="{7B1C7EA6-03EC-4AB6-855C-803E61A10C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775"/>
  <sheetViews>
    <sheetView showGridLines="0" zoomScale="90" zoomScaleNormal="90" zoomScalePageLayoutView="150" workbookViewId="0"/>
  </sheetViews>
  <sheetFormatPr defaultColWidth="9.28515625" defaultRowHeight="12.75" customHeight="1" x14ac:dyDescent="0.2"/>
  <cols>
    <col min="1" max="1" width="24.85546875" style="15" customWidth="1"/>
    <col min="2" max="2" width="29" style="15" customWidth="1"/>
    <col min="3" max="3" width="16.5703125" style="14" customWidth="1"/>
    <col min="4" max="4" width="14.5703125" style="14" customWidth="1"/>
    <col min="5" max="5" width="12.5703125" style="16" customWidth="1"/>
    <col min="6" max="6" width="13.5703125" style="17" customWidth="1"/>
    <col min="7" max="7" width="13.5703125" style="14" bestFit="1" customWidth="1"/>
    <col min="8" max="8" width="9.28515625" style="19"/>
    <col min="9" max="9" width="15.5703125" style="19" customWidth="1"/>
    <col min="10" max="11" width="12.5703125" style="20" customWidth="1"/>
    <col min="12" max="12" width="10.140625" style="1" bestFit="1" customWidth="1"/>
    <col min="13" max="13" width="10" style="1" bestFit="1" customWidth="1"/>
    <col min="14" max="14" width="9.28515625" style="1"/>
    <col min="15" max="15" width="14.140625" style="1" bestFit="1" customWidth="1"/>
    <col min="16" max="19" width="9.28515625" style="1"/>
    <col min="20" max="20" width="9.28515625" style="241"/>
    <col min="21" max="16384" width="9.28515625" style="1"/>
  </cols>
  <sheetData>
    <row r="1" spans="1:20" ht="12.75" customHeight="1" x14ac:dyDescent="0.25">
      <c r="A1" s="255" t="s">
        <v>5540</v>
      </c>
      <c r="B1" s="2"/>
      <c r="C1" s="3"/>
      <c r="D1" s="4"/>
      <c r="E1" s="5"/>
      <c r="F1" s="6"/>
      <c r="G1" s="4"/>
    </row>
    <row r="2" spans="1:20" ht="15.75" x14ac:dyDescent="0.2">
      <c r="A2" s="62" t="s">
        <v>32</v>
      </c>
      <c r="B2" s="62" t="s">
        <v>33</v>
      </c>
      <c r="D2" s="3"/>
      <c r="E2" s="8"/>
      <c r="F2" s="9"/>
      <c r="G2" s="10"/>
      <c r="K2" s="1"/>
    </row>
    <row r="3" spans="1:20" ht="15.75" x14ac:dyDescent="0.2">
      <c r="A3" s="48" t="s">
        <v>34</v>
      </c>
      <c r="B3" s="11"/>
      <c r="C3" s="4"/>
      <c r="D3" s="4"/>
      <c r="E3" s="5"/>
      <c r="F3" s="9"/>
      <c r="G3" s="4"/>
      <c r="K3" s="1"/>
    </row>
    <row r="4" spans="1:20" ht="12.75" customHeight="1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 s="1"/>
      <c r="T4" s="1"/>
    </row>
    <row r="5" spans="1:20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 s="1"/>
      <c r="T5" s="1"/>
    </row>
    <row r="6" spans="1:20" ht="12.75" customHeight="1" x14ac:dyDescent="0.2">
      <c r="A6" s="26" t="s">
        <v>48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1.3</v>
      </c>
      <c r="H6" s="40">
        <v>0.6</v>
      </c>
      <c r="I6" s="38" t="s">
        <v>52</v>
      </c>
      <c r="J6" s="34">
        <f>_xlfn.XLOOKUP(I6,Index!$A:$A,Index!$B:$B)</f>
        <v>36.25</v>
      </c>
      <c r="K6" s="141"/>
      <c r="M6" s="141"/>
      <c r="N6" s="141"/>
      <c r="R6" s="141"/>
      <c r="T6" s="1"/>
    </row>
    <row r="7" spans="1:20" ht="12" x14ac:dyDescent="0.2">
      <c r="A7" s="26"/>
      <c r="B7" s="26"/>
      <c r="C7" s="30"/>
      <c r="D7" s="35" t="s">
        <v>53</v>
      </c>
      <c r="E7" s="64">
        <v>0.25</v>
      </c>
      <c r="F7" s="37">
        <v>6</v>
      </c>
      <c r="G7" s="35">
        <v>1.3</v>
      </c>
      <c r="H7" s="40">
        <v>0.6</v>
      </c>
      <c r="I7" s="38" t="s">
        <v>54</v>
      </c>
      <c r="J7" s="34">
        <f>_xlfn.XLOOKUP(I7,Index!$A:$A,Index!$B:$B)</f>
        <v>38</v>
      </c>
      <c r="K7" s="1"/>
      <c r="R7" s="141"/>
      <c r="T7" s="1"/>
    </row>
    <row r="8" spans="1:20" ht="12" x14ac:dyDescent="0.2">
      <c r="A8" s="26"/>
      <c r="B8" s="26"/>
      <c r="C8" s="30"/>
      <c r="D8" s="35" t="s">
        <v>55</v>
      </c>
      <c r="E8" s="64">
        <v>0.25</v>
      </c>
      <c r="F8" s="37">
        <v>6</v>
      </c>
      <c r="G8" s="35">
        <v>1.3</v>
      </c>
      <c r="H8" s="40">
        <v>0.6</v>
      </c>
      <c r="I8" s="38" t="s">
        <v>56</v>
      </c>
      <c r="J8" s="34">
        <f>_xlfn.XLOOKUP(I8,Index!$A:$A,Index!$B:$B)</f>
        <v>38</v>
      </c>
      <c r="K8" s="1"/>
      <c r="R8" s="141"/>
      <c r="T8" s="1"/>
    </row>
    <row r="9" spans="1:20" ht="12.75" customHeight="1" x14ac:dyDescent="0.2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1.3</v>
      </c>
      <c r="H9" s="40">
        <v>0.6</v>
      </c>
      <c r="I9" s="38" t="s">
        <v>57</v>
      </c>
      <c r="J9" s="34">
        <f>_xlfn.XLOOKUP(I9,Index!$A:$A,Index!$B:$B)</f>
        <v>36.25</v>
      </c>
      <c r="K9" s="1"/>
      <c r="M9" s="141"/>
      <c r="N9" s="141"/>
      <c r="R9" s="141"/>
      <c r="T9" s="1"/>
    </row>
    <row r="10" spans="1:20" ht="12.75" customHeight="1" x14ac:dyDescent="0.2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1.3</v>
      </c>
      <c r="H10" s="40">
        <v>0.6</v>
      </c>
      <c r="I10" s="38" t="s">
        <v>58</v>
      </c>
      <c r="J10" s="34">
        <f>_xlfn.XLOOKUP(I10,Index!$A:$A,Index!$B:$B)</f>
        <v>38</v>
      </c>
      <c r="K10" s="1"/>
      <c r="P10" s="141"/>
      <c r="Q10" s="241"/>
      <c r="R10" s="141"/>
      <c r="T10" s="1"/>
    </row>
    <row r="11" spans="1:20" ht="12.75" customHeight="1" x14ac:dyDescent="0.2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1.3</v>
      </c>
      <c r="H11" s="40">
        <v>0.6</v>
      </c>
      <c r="I11" s="38" t="s">
        <v>59</v>
      </c>
      <c r="J11" s="34">
        <f>_xlfn.XLOOKUP(I11,Index!$A:$A,Index!$B:$B)</f>
        <v>38</v>
      </c>
      <c r="K11" s="1"/>
      <c r="P11" s="141"/>
      <c r="Q11" s="241"/>
      <c r="R11" s="141"/>
      <c r="T11" s="1"/>
    </row>
    <row r="12" spans="1:20" ht="12.75" customHeight="1" x14ac:dyDescent="0.2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1.8</v>
      </c>
      <c r="H12" s="40">
        <v>0.8</v>
      </c>
      <c r="I12" s="38" t="s">
        <v>60</v>
      </c>
      <c r="J12" s="34">
        <f>_xlfn.XLOOKUP(I12,Index!$A:$A,Index!$B:$B)</f>
        <v>36.25</v>
      </c>
      <c r="K12" s="1"/>
      <c r="M12" s="141"/>
      <c r="N12" s="141"/>
      <c r="P12" s="141"/>
      <c r="Q12" s="241"/>
      <c r="R12" s="141"/>
      <c r="T12" s="1"/>
    </row>
    <row r="13" spans="1:20" ht="12.75" customHeight="1" x14ac:dyDescent="0.2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1.8</v>
      </c>
      <c r="H13" s="40">
        <v>0.8</v>
      </c>
      <c r="I13" s="38" t="s">
        <v>61</v>
      </c>
      <c r="J13" s="34">
        <f>_xlfn.XLOOKUP(I13,Index!$A:$A,Index!$B:$B)</f>
        <v>38</v>
      </c>
      <c r="K13" s="1"/>
      <c r="P13" s="141"/>
      <c r="Q13" s="241"/>
      <c r="R13" s="141"/>
      <c r="T13" s="1"/>
    </row>
    <row r="14" spans="1:20" ht="12.75" customHeight="1" x14ac:dyDescent="0.2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1.8</v>
      </c>
      <c r="H14" s="40">
        <v>0.8</v>
      </c>
      <c r="I14" s="38" t="s">
        <v>62</v>
      </c>
      <c r="J14" s="34">
        <f>_xlfn.XLOOKUP(I14,Index!$A:$A,Index!$B:$B)</f>
        <v>38</v>
      </c>
      <c r="K14" s="1"/>
      <c r="P14" s="141"/>
      <c r="Q14" s="241"/>
      <c r="R14" s="141"/>
      <c r="T14" s="1"/>
    </row>
    <row r="15" spans="1:20" ht="12.75" customHeight="1" x14ac:dyDescent="0.2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2.8</v>
      </c>
      <c r="H15" s="40">
        <v>1.2</v>
      </c>
      <c r="I15" s="38" t="s">
        <v>63</v>
      </c>
      <c r="J15" s="34">
        <f>_xlfn.XLOOKUP(I15,Index!$A:$A,Index!$B:$B)</f>
        <v>42</v>
      </c>
      <c r="K15" s="1"/>
      <c r="M15" s="141"/>
      <c r="N15" s="141"/>
      <c r="P15" s="141"/>
      <c r="Q15" s="241"/>
      <c r="R15" s="141"/>
      <c r="T15" s="1"/>
    </row>
    <row r="16" spans="1:20" ht="12.75" customHeight="1" x14ac:dyDescent="0.2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2.8</v>
      </c>
      <c r="H16" s="40">
        <v>1.2</v>
      </c>
      <c r="I16" s="38" t="s">
        <v>64</v>
      </c>
      <c r="J16" s="34">
        <f>_xlfn.XLOOKUP(I16,Index!$A:$A,Index!$B:$B)</f>
        <v>44.25</v>
      </c>
      <c r="K16" s="1"/>
      <c r="P16" s="141"/>
      <c r="Q16" s="241"/>
      <c r="R16" s="141"/>
      <c r="T16" s="1"/>
    </row>
    <row r="17" spans="1:20" ht="12.75" customHeight="1" x14ac:dyDescent="0.2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2.8</v>
      </c>
      <c r="H17" s="40">
        <v>1.2</v>
      </c>
      <c r="I17" s="38" t="s">
        <v>65</v>
      </c>
      <c r="J17" s="34">
        <f>_xlfn.XLOOKUP(I17,Index!$A:$A,Index!$B:$B)</f>
        <v>44.25</v>
      </c>
      <c r="K17" s="1"/>
      <c r="P17" s="141"/>
      <c r="Q17" s="241"/>
      <c r="R17" s="141"/>
      <c r="T17" s="1"/>
    </row>
    <row r="18" spans="1:20" ht="12.75" customHeight="1" x14ac:dyDescent="0.2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4</v>
      </c>
      <c r="H18" s="40">
        <v>2</v>
      </c>
      <c r="I18" s="38" t="s">
        <v>66</v>
      </c>
      <c r="J18" s="34">
        <f>_xlfn.XLOOKUP(I18,Index!$A:$A,Index!$B:$B)</f>
        <v>54.75</v>
      </c>
      <c r="K18" s="141"/>
      <c r="M18" s="141"/>
      <c r="N18" s="141"/>
      <c r="P18" s="141"/>
      <c r="Q18" s="241"/>
      <c r="R18" s="141"/>
      <c r="T18" s="1"/>
    </row>
    <row r="19" spans="1:20" ht="12.75" customHeight="1" x14ac:dyDescent="0.2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4</v>
      </c>
      <c r="H19" s="40">
        <v>2</v>
      </c>
      <c r="I19" s="38" t="s">
        <v>67</v>
      </c>
      <c r="J19" s="34">
        <f>_xlfn.XLOOKUP(I19,Index!$A:$A,Index!$B:$B)</f>
        <v>57.25</v>
      </c>
      <c r="K19" s="1"/>
      <c r="P19" s="141"/>
      <c r="Q19" s="241"/>
      <c r="R19" s="141"/>
      <c r="T19" s="1"/>
    </row>
    <row r="20" spans="1:20" ht="12.75" customHeight="1" x14ac:dyDescent="0.2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4</v>
      </c>
      <c r="H20" s="40">
        <v>2</v>
      </c>
      <c r="I20" s="38" t="s">
        <v>68</v>
      </c>
      <c r="J20" s="34">
        <f>_xlfn.XLOOKUP(I20,Index!$A:$A,Index!$B:$B)</f>
        <v>57.25</v>
      </c>
      <c r="K20" s="1"/>
      <c r="P20" s="141"/>
      <c r="Q20" s="241"/>
      <c r="R20" s="141"/>
      <c r="T20" s="1"/>
    </row>
    <row r="21" spans="1:20" ht="12.75" customHeight="1" x14ac:dyDescent="0.2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6.3</v>
      </c>
      <c r="H21" s="40">
        <v>3</v>
      </c>
      <c r="I21" s="38" t="s">
        <v>69</v>
      </c>
      <c r="J21" s="34">
        <f>_xlfn.XLOOKUP(I21,Index!$A:$A,Index!$B:$B)</f>
        <v>76.75</v>
      </c>
      <c r="K21" s="1"/>
      <c r="M21" s="141"/>
      <c r="N21" s="141"/>
      <c r="P21" s="141"/>
      <c r="Q21" s="241"/>
      <c r="R21" s="141"/>
      <c r="T21" s="1"/>
    </row>
    <row r="22" spans="1:20" ht="12.75" customHeight="1" x14ac:dyDescent="0.2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6.3</v>
      </c>
      <c r="H22" s="40">
        <v>3</v>
      </c>
      <c r="I22" s="38" t="s">
        <v>70</v>
      </c>
      <c r="J22" s="34">
        <f>_xlfn.XLOOKUP(I22,Index!$A:$A,Index!$B:$B)</f>
        <v>80.25</v>
      </c>
      <c r="K22" s="1"/>
      <c r="P22" s="141"/>
      <c r="Q22" s="241"/>
      <c r="R22" s="141"/>
      <c r="T22" s="1"/>
    </row>
    <row r="23" spans="1:20" ht="12.75" customHeight="1" x14ac:dyDescent="0.2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6.3</v>
      </c>
      <c r="H23" s="40">
        <v>3</v>
      </c>
      <c r="I23" s="38" t="s">
        <v>71</v>
      </c>
      <c r="J23" s="34">
        <f>_xlfn.XLOOKUP(I23,Index!$A:$A,Index!$B:$B)</f>
        <v>80.25</v>
      </c>
      <c r="K23" s="1"/>
      <c r="P23" s="141"/>
      <c r="Q23" s="241"/>
      <c r="R23" s="141"/>
      <c r="T23" s="1"/>
    </row>
    <row r="24" spans="1:20" ht="12.75" customHeight="1" x14ac:dyDescent="0.2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10.5</v>
      </c>
      <c r="H24" s="40">
        <v>5</v>
      </c>
      <c r="I24" s="38" t="s">
        <v>72</v>
      </c>
      <c r="J24" s="34">
        <f>_xlfn.XLOOKUP(I24,Index!$A:$A,Index!$B:$B)</f>
        <v>104</v>
      </c>
      <c r="K24" s="141"/>
      <c r="M24" s="141"/>
      <c r="N24" s="141"/>
      <c r="P24" s="141"/>
      <c r="Q24" s="241"/>
      <c r="R24" s="141"/>
      <c r="T24" s="1"/>
    </row>
    <row r="25" spans="1:20" ht="12.75" customHeight="1" x14ac:dyDescent="0.2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10.5</v>
      </c>
      <c r="H25" s="40">
        <v>5</v>
      </c>
      <c r="I25" s="38" t="s">
        <v>73</v>
      </c>
      <c r="J25" s="34">
        <f>_xlfn.XLOOKUP(I25,Index!$A:$A,Index!$B:$B)</f>
        <v>109.5</v>
      </c>
      <c r="K25" s="141"/>
      <c r="P25" s="141"/>
      <c r="Q25" s="241"/>
      <c r="R25" s="141"/>
      <c r="T25" s="1"/>
    </row>
    <row r="26" spans="1:20" ht="12.75" customHeight="1" x14ac:dyDescent="0.2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10.5</v>
      </c>
      <c r="H26" s="40">
        <v>5</v>
      </c>
      <c r="I26" s="38" t="s">
        <v>74</v>
      </c>
      <c r="J26" s="34">
        <f>_xlfn.XLOOKUP(I26,Index!$A:$A,Index!$B:$B)</f>
        <v>109.5</v>
      </c>
      <c r="K26" s="141"/>
      <c r="P26" s="141"/>
      <c r="Q26" s="241"/>
      <c r="R26" s="141"/>
      <c r="T26" s="1"/>
    </row>
    <row r="27" spans="1:20" ht="12.75" customHeight="1" x14ac:dyDescent="0.2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15</v>
      </c>
      <c r="H27" s="40">
        <v>7</v>
      </c>
      <c r="I27" s="38" t="s">
        <v>75</v>
      </c>
      <c r="J27" s="34">
        <f>_xlfn.XLOOKUP(I27,Index!$A:$A,Index!$B:$B)</f>
        <v>156</v>
      </c>
      <c r="K27" s="141"/>
      <c r="M27" s="141"/>
      <c r="N27" s="141"/>
      <c r="P27" s="141"/>
      <c r="Q27" s="241"/>
      <c r="R27" s="141"/>
      <c r="T27" s="1"/>
    </row>
    <row r="28" spans="1:20" ht="12.75" customHeight="1" x14ac:dyDescent="0.2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15</v>
      </c>
      <c r="H28" s="40">
        <v>7</v>
      </c>
      <c r="I28" s="38" t="s">
        <v>76</v>
      </c>
      <c r="J28" s="34">
        <f>_xlfn.XLOOKUP(I28,Index!$A:$A,Index!$B:$B)</f>
        <v>163.5</v>
      </c>
      <c r="K28" s="1"/>
      <c r="P28" s="141"/>
      <c r="Q28" s="241"/>
      <c r="R28" s="141"/>
      <c r="T28" s="1"/>
    </row>
    <row r="29" spans="1:20" ht="12.75" customHeight="1" x14ac:dyDescent="0.2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15</v>
      </c>
      <c r="H29" s="40">
        <v>7</v>
      </c>
      <c r="I29" s="38" t="s">
        <v>77</v>
      </c>
      <c r="J29" s="34">
        <f>_xlfn.XLOOKUP(I29,Index!$A:$A,Index!$B:$B)</f>
        <v>163.5</v>
      </c>
      <c r="K29" s="1"/>
      <c r="P29" s="141"/>
      <c r="Q29" s="241"/>
      <c r="R29" s="141"/>
      <c r="T29" s="1"/>
    </row>
    <row r="30" spans="1:20" ht="12.75" customHeight="1" x14ac:dyDescent="0.2">
      <c r="A30" s="26"/>
      <c r="B30" s="26"/>
      <c r="C30" s="30"/>
      <c r="D30" s="35" t="s">
        <v>51</v>
      </c>
      <c r="E30" s="64">
        <v>2.5</v>
      </c>
      <c r="F30" s="37">
        <v>65</v>
      </c>
      <c r="G30" s="35">
        <v>25</v>
      </c>
      <c r="H30" s="40">
        <v>11</v>
      </c>
      <c r="I30" s="38" t="s">
        <v>78</v>
      </c>
      <c r="J30" s="34">
        <f>_xlfn.XLOOKUP(I30,Index!$A:$A,Index!$B:$B)</f>
        <v>305.5</v>
      </c>
      <c r="K30" s="1"/>
      <c r="M30" s="141"/>
      <c r="N30" s="141"/>
      <c r="P30" s="141"/>
      <c r="Q30" s="241"/>
      <c r="R30" s="141"/>
      <c r="T30" s="1"/>
    </row>
    <row r="31" spans="1:20" ht="12.75" customHeight="1" x14ac:dyDescent="0.2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25</v>
      </c>
      <c r="H31" s="40">
        <v>11</v>
      </c>
      <c r="I31" s="38" t="s">
        <v>79</v>
      </c>
      <c r="J31" s="34">
        <f>_xlfn.XLOOKUP(I31,Index!$A:$A,Index!$B:$B)</f>
        <v>321</v>
      </c>
      <c r="K31" s="1"/>
      <c r="P31" s="141"/>
      <c r="Q31" s="241"/>
      <c r="R31" s="141"/>
      <c r="T31" s="1"/>
    </row>
    <row r="32" spans="1:20" ht="12.75" customHeight="1" x14ac:dyDescent="0.2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25</v>
      </c>
      <c r="H32" s="40">
        <v>11</v>
      </c>
      <c r="I32" s="38" t="s">
        <v>80</v>
      </c>
      <c r="J32" s="34">
        <f>_xlfn.XLOOKUP(I32,Index!$A:$A,Index!$B:$B)</f>
        <v>321</v>
      </c>
      <c r="K32" s="1"/>
      <c r="P32" s="141"/>
      <c r="Q32" s="241"/>
      <c r="R32" s="141"/>
      <c r="T32" s="1"/>
    </row>
    <row r="33" spans="1:20" ht="12.75" customHeight="1" x14ac:dyDescent="0.2">
      <c r="A33" s="26"/>
      <c r="B33" s="26"/>
      <c r="C33" s="30"/>
      <c r="D33" s="35" t="s">
        <v>51</v>
      </c>
      <c r="E33" s="36">
        <v>3</v>
      </c>
      <c r="F33" s="37">
        <v>80</v>
      </c>
      <c r="G33" s="35">
        <v>36</v>
      </c>
      <c r="H33" s="40">
        <v>16</v>
      </c>
      <c r="I33" s="38" t="s">
        <v>81</v>
      </c>
      <c r="J33" s="34">
        <f>_xlfn.XLOOKUP(I33,Index!$A:$A,Index!$B:$B)</f>
        <v>439.5</v>
      </c>
      <c r="K33" s="1"/>
      <c r="M33" s="141"/>
      <c r="N33" s="141"/>
      <c r="P33" s="141"/>
      <c r="Q33" s="241"/>
      <c r="R33" s="141"/>
      <c r="T33" s="1"/>
    </row>
    <row r="34" spans="1:20" ht="12.75" customHeight="1" x14ac:dyDescent="0.2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36</v>
      </c>
      <c r="H34" s="40">
        <v>16</v>
      </c>
      <c r="I34" s="38" t="s">
        <v>82</v>
      </c>
      <c r="J34" s="34">
        <f>_xlfn.XLOOKUP(I34,Index!$A:$A,Index!$B:$B)</f>
        <v>461</v>
      </c>
      <c r="K34" s="1"/>
      <c r="P34" s="141"/>
      <c r="Q34" s="241"/>
      <c r="R34" s="141"/>
      <c r="T34" s="1"/>
    </row>
    <row r="35" spans="1:20" ht="12.75" customHeight="1" x14ac:dyDescent="0.2">
      <c r="A35" s="26"/>
      <c r="B35" s="26"/>
      <c r="C35" s="30"/>
      <c r="D35" s="35" t="s">
        <v>55</v>
      </c>
      <c r="E35" s="36">
        <v>3</v>
      </c>
      <c r="F35" s="37">
        <v>80</v>
      </c>
      <c r="G35" s="35">
        <v>36</v>
      </c>
      <c r="H35" s="40">
        <v>16</v>
      </c>
      <c r="I35" s="38" t="s">
        <v>83</v>
      </c>
      <c r="J35" s="34">
        <f>_xlfn.XLOOKUP(I35,Index!$A:$A,Index!$B:$B)</f>
        <v>461</v>
      </c>
      <c r="K35" s="1"/>
      <c r="P35" s="141"/>
      <c r="Q35" s="241"/>
      <c r="R35" s="141"/>
      <c r="T35" s="1"/>
    </row>
    <row r="36" spans="1:20" ht="12.75" customHeight="1" x14ac:dyDescent="0.2">
      <c r="A36" s="26"/>
      <c r="B36" s="26"/>
      <c r="C36" s="30"/>
      <c r="D36" s="35" t="s">
        <v>51</v>
      </c>
      <c r="E36" s="36">
        <v>4</v>
      </c>
      <c r="F36" s="37">
        <v>100</v>
      </c>
      <c r="G36" s="35">
        <v>70</v>
      </c>
      <c r="H36" s="40">
        <v>32</v>
      </c>
      <c r="I36" s="38" t="s">
        <v>84</v>
      </c>
      <c r="J36" s="34">
        <f>_xlfn.XLOOKUP(I36,Index!$A:$A,Index!$B:$B)</f>
        <v>1717</v>
      </c>
      <c r="K36" s="1"/>
      <c r="M36" s="141"/>
      <c r="N36" s="141"/>
      <c r="P36" s="141"/>
      <c r="Q36" s="241"/>
      <c r="R36" s="141"/>
      <c r="T36" s="1"/>
    </row>
    <row r="37" spans="1:20" ht="12.75" customHeight="1" x14ac:dyDescent="0.2">
      <c r="A37" s="26"/>
      <c r="B37" s="26"/>
      <c r="C37" s="30"/>
      <c r="D37" s="35" t="s">
        <v>53</v>
      </c>
      <c r="E37" s="36">
        <v>4</v>
      </c>
      <c r="F37" s="37">
        <v>100</v>
      </c>
      <c r="G37" s="35">
        <v>70</v>
      </c>
      <c r="H37" s="40">
        <v>32</v>
      </c>
      <c r="I37" s="38" t="s">
        <v>5542</v>
      </c>
      <c r="J37" s="34">
        <f>J36*1.05</f>
        <v>1802.8500000000001</v>
      </c>
      <c r="K37" s="1"/>
      <c r="P37" s="141"/>
      <c r="Q37" s="241"/>
      <c r="R37" s="141"/>
      <c r="T37" s="1"/>
    </row>
    <row r="38" spans="1:20" ht="12.75" customHeight="1" x14ac:dyDescent="0.2">
      <c r="A38" s="27"/>
      <c r="B38" s="27"/>
      <c r="C38" s="31"/>
      <c r="D38" s="35" t="s">
        <v>55</v>
      </c>
      <c r="E38" s="36">
        <v>4</v>
      </c>
      <c r="F38" s="37">
        <v>100</v>
      </c>
      <c r="G38" s="35">
        <v>70</v>
      </c>
      <c r="H38" s="40">
        <v>32</v>
      </c>
      <c r="I38" s="38" t="s">
        <v>5542</v>
      </c>
      <c r="J38" s="34">
        <f>J36*1.05</f>
        <v>1802.8500000000001</v>
      </c>
      <c r="K38" s="1"/>
      <c r="P38" s="141"/>
      <c r="Q38" s="241"/>
      <c r="R38" s="141"/>
      <c r="T38" s="1"/>
    </row>
    <row r="39" spans="1:20" ht="12.75" customHeight="1" x14ac:dyDescent="0.2">
      <c r="A39" s="12"/>
      <c r="B39" s="12"/>
      <c r="C39" s="4"/>
      <c r="D39" s="4"/>
      <c r="E39" s="5"/>
      <c r="F39" s="21"/>
      <c r="G39" s="4"/>
      <c r="K39" s="1"/>
    </row>
    <row r="40" spans="1:20" ht="12.75" customHeight="1" x14ac:dyDescent="0.2">
      <c r="A40" s="12"/>
      <c r="B40" s="12"/>
      <c r="C40" s="4"/>
      <c r="D40" s="4"/>
      <c r="E40" s="5"/>
      <c r="F40" s="13"/>
      <c r="G40" s="4"/>
      <c r="K40" s="1"/>
    </row>
    <row r="41" spans="1:20" ht="15.75" x14ac:dyDescent="0.2">
      <c r="A41" s="62" t="s">
        <v>87</v>
      </c>
      <c r="B41" s="62" t="s">
        <v>33</v>
      </c>
      <c r="D41" s="3"/>
      <c r="E41" s="8"/>
      <c r="F41" s="9"/>
      <c r="G41" s="10"/>
      <c r="K41" s="1"/>
    </row>
    <row r="42" spans="1:20" ht="15.75" x14ac:dyDescent="0.2">
      <c r="A42" s="48" t="s">
        <v>88</v>
      </c>
      <c r="B42" s="11"/>
      <c r="C42" s="4"/>
      <c r="D42" s="4"/>
      <c r="E42" s="5"/>
      <c r="F42" s="9"/>
      <c r="G42" s="4"/>
      <c r="K42" s="1"/>
    </row>
    <row r="43" spans="1:20" ht="12.75" customHeight="1" x14ac:dyDescent="0.2">
      <c r="A43" s="25" t="s">
        <v>35</v>
      </c>
      <c r="B43" s="28" t="s">
        <v>36</v>
      </c>
      <c r="C43" s="333" t="s">
        <v>37</v>
      </c>
      <c r="D43" s="334"/>
      <c r="E43" s="335" t="s">
        <v>38</v>
      </c>
      <c r="F43" s="336"/>
      <c r="G43" s="335" t="s">
        <v>39</v>
      </c>
      <c r="H43" s="336"/>
      <c r="I43" s="42" t="s">
        <v>40</v>
      </c>
      <c r="J43" s="43" t="s">
        <v>41</v>
      </c>
      <c r="K43" s="1"/>
    </row>
    <row r="44" spans="1:20" ht="12.75" customHeight="1" x14ac:dyDescent="0.2">
      <c r="A44" s="32"/>
      <c r="B44" s="32"/>
      <c r="C44" s="33" t="s">
        <v>42</v>
      </c>
      <c r="D44" s="33" t="s">
        <v>43</v>
      </c>
      <c r="E44" s="33" t="s">
        <v>44</v>
      </c>
      <c r="F44" s="33" t="s">
        <v>45</v>
      </c>
      <c r="G44" s="33" t="s">
        <v>46</v>
      </c>
      <c r="H44" s="33" t="s">
        <v>47</v>
      </c>
      <c r="I44" s="33"/>
      <c r="J44" s="44"/>
      <c r="K44" s="1"/>
    </row>
    <row r="45" spans="1:20" ht="12.75" customHeight="1" x14ac:dyDescent="0.2">
      <c r="A45" s="26" t="s">
        <v>89</v>
      </c>
      <c r="B45" s="26" t="s">
        <v>49</v>
      </c>
      <c r="C45" s="30" t="s">
        <v>50</v>
      </c>
      <c r="D45" s="35" t="s">
        <v>51</v>
      </c>
      <c r="E45" s="64">
        <v>0.25</v>
      </c>
      <c r="F45" s="45">
        <v>6</v>
      </c>
      <c r="G45" s="35">
        <v>1.3</v>
      </c>
      <c r="H45" s="38">
        <v>0.6</v>
      </c>
      <c r="I45" s="38" t="s">
        <v>90</v>
      </c>
      <c r="J45" s="34">
        <f>_xlfn.XLOOKUP(I45,Index!$A:$A,Index!$B:$B)</f>
        <v>26</v>
      </c>
      <c r="K45" s="1"/>
      <c r="Q45" s="241"/>
      <c r="S45" s="141"/>
    </row>
    <row r="46" spans="1:20" s="55" customFormat="1" ht="14.25" x14ac:dyDescent="0.2">
      <c r="A46" s="26"/>
      <c r="B46" s="26"/>
      <c r="C46" s="30"/>
      <c r="D46" s="35" t="s">
        <v>51</v>
      </c>
      <c r="E46" s="64">
        <v>0.375</v>
      </c>
      <c r="F46" s="45">
        <v>10</v>
      </c>
      <c r="G46" s="35">
        <v>1.3</v>
      </c>
      <c r="H46" s="38">
        <v>0.6</v>
      </c>
      <c r="I46" s="38" t="s">
        <v>91</v>
      </c>
      <c r="J46" s="34">
        <f>_xlfn.XLOOKUP(I46,Index!$A:$A,Index!$B:$B)</f>
        <v>26</v>
      </c>
      <c r="K46" s="1"/>
      <c r="L46" s="1"/>
      <c r="M46" s="1"/>
      <c r="N46" s="1"/>
      <c r="O46" s="1"/>
      <c r="P46" s="1"/>
      <c r="Q46" s="241"/>
      <c r="R46" s="1"/>
      <c r="S46" s="141"/>
      <c r="T46" s="241"/>
    </row>
    <row r="47" spans="1:20" s="55" customFormat="1" ht="14.25" x14ac:dyDescent="0.2">
      <c r="A47" s="26"/>
      <c r="B47" s="26"/>
      <c r="C47" s="30"/>
      <c r="D47" s="35" t="s">
        <v>51</v>
      </c>
      <c r="E47" s="64">
        <v>0.5</v>
      </c>
      <c r="F47" s="45">
        <v>15</v>
      </c>
      <c r="G47" s="35">
        <v>1.8</v>
      </c>
      <c r="H47" s="38">
        <v>0.8</v>
      </c>
      <c r="I47" s="38" t="s">
        <v>92</v>
      </c>
      <c r="J47" s="34">
        <f>_xlfn.XLOOKUP(I47,Index!$A:$A,Index!$B:$B)</f>
        <v>26</v>
      </c>
      <c r="K47" s="1"/>
      <c r="L47" s="1"/>
      <c r="M47" s="1"/>
      <c r="N47" s="1"/>
      <c r="O47" s="1"/>
      <c r="P47" s="1"/>
      <c r="Q47" s="241"/>
      <c r="R47" s="1"/>
      <c r="S47" s="141"/>
      <c r="T47" s="241"/>
    </row>
    <row r="48" spans="1:20" ht="12.75" customHeight="1" x14ac:dyDescent="0.2">
      <c r="A48" s="26"/>
      <c r="B48" s="26"/>
      <c r="C48" s="30"/>
      <c r="D48" s="35" t="s">
        <v>51</v>
      </c>
      <c r="E48" s="64">
        <v>0.75</v>
      </c>
      <c r="F48" s="45">
        <v>20</v>
      </c>
      <c r="G48" s="35">
        <v>2.8</v>
      </c>
      <c r="H48" s="38">
        <v>1.2</v>
      </c>
      <c r="I48" s="38" t="s">
        <v>93</v>
      </c>
      <c r="J48" s="34">
        <f>_xlfn.XLOOKUP(I48,Index!$A:$A,Index!$B:$B)</f>
        <v>30.5</v>
      </c>
      <c r="K48" s="1"/>
      <c r="Q48" s="241"/>
      <c r="S48" s="141"/>
    </row>
    <row r="49" spans="1:20" ht="12.75" customHeight="1" x14ac:dyDescent="0.2">
      <c r="A49" s="26"/>
      <c r="B49" s="26"/>
      <c r="C49" s="30"/>
      <c r="D49" s="35" t="s">
        <v>51</v>
      </c>
      <c r="E49" s="64">
        <v>1</v>
      </c>
      <c r="F49" s="45">
        <v>25</v>
      </c>
      <c r="G49" s="35">
        <v>4</v>
      </c>
      <c r="H49" s="38">
        <v>2</v>
      </c>
      <c r="I49" s="38" t="s">
        <v>94</v>
      </c>
      <c r="J49" s="34">
        <f>_xlfn.XLOOKUP(I49,Index!$A:$A,Index!$B:$B)</f>
        <v>39.75</v>
      </c>
      <c r="K49" s="1"/>
      <c r="Q49" s="241"/>
      <c r="S49" s="141"/>
    </row>
    <row r="50" spans="1:20" ht="12.75" customHeight="1" x14ac:dyDescent="0.2">
      <c r="A50" s="26"/>
      <c r="B50" s="26"/>
      <c r="C50" s="30"/>
      <c r="D50" s="35" t="s">
        <v>51</v>
      </c>
      <c r="E50" s="64">
        <v>1.25</v>
      </c>
      <c r="F50" s="45">
        <v>32</v>
      </c>
      <c r="G50" s="35">
        <v>6.3</v>
      </c>
      <c r="H50" s="38">
        <v>3</v>
      </c>
      <c r="I50" s="38" t="s">
        <v>95</v>
      </c>
      <c r="J50" s="34">
        <f>_xlfn.XLOOKUP(I50,Index!$A:$A,Index!$B:$B)</f>
        <v>55</v>
      </c>
      <c r="K50" s="1"/>
      <c r="Q50" s="241"/>
      <c r="S50" s="141"/>
    </row>
    <row r="51" spans="1:20" ht="12.75" customHeight="1" x14ac:dyDescent="0.2">
      <c r="A51" s="26"/>
      <c r="B51" s="26"/>
      <c r="C51" s="30"/>
      <c r="D51" s="35" t="s">
        <v>51</v>
      </c>
      <c r="E51" s="64">
        <v>1.5</v>
      </c>
      <c r="F51" s="45">
        <v>40</v>
      </c>
      <c r="G51" s="35">
        <v>10.5</v>
      </c>
      <c r="H51" s="38">
        <v>5</v>
      </c>
      <c r="I51" s="38" t="s">
        <v>96</v>
      </c>
      <c r="J51" s="34">
        <f>_xlfn.XLOOKUP(I51,Index!$A:$A,Index!$B:$B)</f>
        <v>74.75</v>
      </c>
      <c r="K51" s="1"/>
      <c r="Q51" s="241"/>
      <c r="S51" s="141"/>
    </row>
    <row r="52" spans="1:20" ht="12.75" customHeight="1" x14ac:dyDescent="0.2">
      <c r="A52" s="26"/>
      <c r="B52" s="26"/>
      <c r="C52" s="30"/>
      <c r="D52" s="35" t="s">
        <v>51</v>
      </c>
      <c r="E52" s="64">
        <v>2</v>
      </c>
      <c r="F52" s="45">
        <v>50</v>
      </c>
      <c r="G52" s="35">
        <v>15</v>
      </c>
      <c r="H52" s="38">
        <v>7</v>
      </c>
      <c r="I52" s="38" t="s">
        <v>97</v>
      </c>
      <c r="J52" s="34">
        <f>_xlfn.XLOOKUP(I52,Index!$A:$A,Index!$B:$B)</f>
        <v>112</v>
      </c>
      <c r="K52" s="1"/>
      <c r="Q52" s="241"/>
      <c r="S52" s="141"/>
    </row>
    <row r="53" spans="1:20" ht="12.75" customHeight="1" x14ac:dyDescent="0.2">
      <c r="A53" s="26"/>
      <c r="B53" s="26"/>
      <c r="C53" s="30"/>
      <c r="D53" s="35" t="s">
        <v>51</v>
      </c>
      <c r="E53" s="64">
        <v>2.5</v>
      </c>
      <c r="F53" s="45">
        <v>65</v>
      </c>
      <c r="G53" s="35">
        <v>25</v>
      </c>
      <c r="H53" s="38">
        <v>11</v>
      </c>
      <c r="I53" s="38" t="s">
        <v>98</v>
      </c>
      <c r="J53" s="34">
        <f>_xlfn.XLOOKUP(I53,Index!$A:$A,Index!$B:$B)</f>
        <v>219</v>
      </c>
      <c r="K53" s="1"/>
      <c r="Q53" s="241"/>
      <c r="S53" s="141"/>
    </row>
    <row r="54" spans="1:20" ht="12.75" customHeight="1" x14ac:dyDescent="0.2">
      <c r="A54" s="26"/>
      <c r="B54" s="26"/>
      <c r="C54" s="30"/>
      <c r="D54" s="35" t="s">
        <v>51</v>
      </c>
      <c r="E54" s="64">
        <v>3</v>
      </c>
      <c r="F54" s="45">
        <v>80</v>
      </c>
      <c r="G54" s="35">
        <v>36</v>
      </c>
      <c r="H54" s="38">
        <v>16</v>
      </c>
      <c r="I54" s="38" t="s">
        <v>99</v>
      </c>
      <c r="J54" s="34">
        <f>_xlfn.XLOOKUP(I54,Index!$A:$A,Index!$B:$B)</f>
        <v>316</v>
      </c>
      <c r="K54" s="141"/>
      <c r="Q54" s="241"/>
      <c r="S54" s="141"/>
    </row>
    <row r="55" spans="1:20" ht="12.75" customHeight="1" x14ac:dyDescent="0.2">
      <c r="A55" s="27"/>
      <c r="B55" s="27"/>
      <c r="C55" s="31"/>
      <c r="D55" s="35" t="s">
        <v>51</v>
      </c>
      <c r="E55" s="64">
        <v>4</v>
      </c>
      <c r="F55" s="45">
        <v>100</v>
      </c>
      <c r="G55" s="35">
        <v>70</v>
      </c>
      <c r="H55" s="38">
        <v>32</v>
      </c>
      <c r="I55" s="38" t="s">
        <v>100</v>
      </c>
      <c r="J55" s="34">
        <f>_xlfn.XLOOKUP(I55,Index!$A:$A,Index!$B:$B)</f>
        <v>1233</v>
      </c>
      <c r="K55" s="141"/>
      <c r="S55" s="141"/>
    </row>
    <row r="56" spans="1:20" ht="12.75" customHeight="1" x14ac:dyDescent="0.2">
      <c r="A56" s="12"/>
      <c r="B56" s="12"/>
      <c r="C56" s="4"/>
      <c r="D56" s="4"/>
      <c r="E56" s="5"/>
      <c r="F56" s="13"/>
      <c r="G56" s="4"/>
      <c r="K56" s="1"/>
    </row>
    <row r="57" spans="1:20" ht="12.75" customHeight="1" x14ac:dyDescent="0.2">
      <c r="A57" s="12"/>
      <c r="B57" s="12"/>
      <c r="C57" s="4"/>
      <c r="D57" s="4"/>
      <c r="E57" s="5"/>
      <c r="F57" s="13"/>
      <c r="G57" s="4"/>
      <c r="K57" s="1"/>
    </row>
    <row r="58" spans="1:20" ht="19.350000000000001" customHeight="1" x14ac:dyDescent="0.2">
      <c r="A58" s="62" t="s">
        <v>101</v>
      </c>
      <c r="B58" s="62"/>
      <c r="D58" s="3"/>
      <c r="E58" s="8"/>
      <c r="F58" s="9"/>
      <c r="G58" s="10"/>
      <c r="K58" s="1"/>
    </row>
    <row r="59" spans="1:20" ht="15.75" x14ac:dyDescent="0.2">
      <c r="A59" s="48" t="s">
        <v>102</v>
      </c>
      <c r="B59" s="11"/>
      <c r="C59" s="4"/>
      <c r="D59" s="4"/>
      <c r="E59" s="5"/>
      <c r="F59" s="9"/>
      <c r="G59" s="4"/>
      <c r="K59" s="1"/>
    </row>
    <row r="60" spans="1:20" ht="12.75" customHeight="1" x14ac:dyDescent="0.2">
      <c r="A60" s="25" t="s">
        <v>35</v>
      </c>
      <c r="B60" s="28" t="s">
        <v>103</v>
      </c>
      <c r="C60" s="335" t="s">
        <v>38</v>
      </c>
      <c r="D60" s="337"/>
      <c r="E60" s="229" t="s">
        <v>40</v>
      </c>
      <c r="F60" s="43" t="s">
        <v>41</v>
      </c>
      <c r="G60" s="1"/>
      <c r="H60" s="1"/>
      <c r="I60" s="1"/>
      <c r="J60" s="1"/>
      <c r="K60" s="1"/>
    </row>
    <row r="61" spans="1:20" ht="12.75" customHeight="1" x14ac:dyDescent="0.2">
      <c r="A61" s="32"/>
      <c r="B61" s="32"/>
      <c r="C61" s="33" t="s">
        <v>44</v>
      </c>
      <c r="D61" s="33" t="s">
        <v>45</v>
      </c>
      <c r="E61" s="87"/>
      <c r="F61" s="44"/>
      <c r="G61" s="1"/>
      <c r="H61" s="1"/>
      <c r="I61" s="1"/>
      <c r="J61" s="1"/>
      <c r="K61" s="1"/>
    </row>
    <row r="62" spans="1:20" ht="12.75" customHeight="1" x14ac:dyDescent="0.2">
      <c r="A62" s="60" t="s">
        <v>5544</v>
      </c>
      <c r="B62" s="60" t="s">
        <v>104</v>
      </c>
      <c r="C62" s="65">
        <v>0.25</v>
      </c>
      <c r="D62" s="35">
        <v>6</v>
      </c>
      <c r="E62" s="85" t="s">
        <v>105</v>
      </c>
      <c r="F62" s="34">
        <f>_xlfn.XLOOKUP(E62,Index!$A:$A,Index!$B:$B)</f>
        <v>2.75</v>
      </c>
      <c r="G62" s="1"/>
      <c r="I62" s="1"/>
      <c r="J62" s="1"/>
      <c r="K62" s="1"/>
    </row>
    <row r="63" spans="1:20" s="55" customFormat="1" ht="14.25" x14ac:dyDescent="0.2">
      <c r="A63" s="26"/>
      <c r="B63" s="26"/>
      <c r="C63" s="65">
        <v>0.375</v>
      </c>
      <c r="D63" s="35">
        <v>10</v>
      </c>
      <c r="E63" s="85" t="s">
        <v>105</v>
      </c>
      <c r="F63" s="34">
        <f>_xlfn.XLOOKUP(E63,Index!$A:$A,Index!$B:$B)</f>
        <v>2.75</v>
      </c>
      <c r="G63" s="1"/>
      <c r="H63" s="19"/>
      <c r="K63" s="1"/>
      <c r="L63" s="1"/>
      <c r="T63" s="242"/>
    </row>
    <row r="64" spans="1:20" s="55" customFormat="1" ht="14.25" x14ac:dyDescent="0.2">
      <c r="A64" s="26"/>
      <c r="B64" s="26"/>
      <c r="C64" s="65">
        <v>0.5</v>
      </c>
      <c r="D64" s="35">
        <v>15</v>
      </c>
      <c r="E64" s="85" t="s">
        <v>105</v>
      </c>
      <c r="F64" s="34">
        <f>_xlfn.XLOOKUP(E64,Index!$A:$A,Index!$B:$B)</f>
        <v>2.75</v>
      </c>
      <c r="G64" s="1"/>
      <c r="H64" s="19"/>
      <c r="K64" s="1"/>
      <c r="L64" s="1"/>
      <c r="T64" s="242"/>
    </row>
    <row r="65" spans="1:11" ht="12.75" customHeight="1" x14ac:dyDescent="0.2">
      <c r="A65" s="26"/>
      <c r="B65" s="26"/>
      <c r="C65" s="65">
        <v>0.75</v>
      </c>
      <c r="D65" s="35">
        <v>20</v>
      </c>
      <c r="E65" s="85" t="s">
        <v>106</v>
      </c>
      <c r="F65" s="34">
        <f>_xlfn.XLOOKUP(E65,Index!$A:$A,Index!$B:$B)</f>
        <v>6</v>
      </c>
      <c r="G65" s="1"/>
      <c r="I65" s="1"/>
      <c r="J65" s="1"/>
      <c r="K65" s="1"/>
    </row>
    <row r="66" spans="1:11" ht="12.75" customHeight="1" x14ac:dyDescent="0.2">
      <c r="A66" s="26"/>
      <c r="B66" s="26"/>
      <c r="C66" s="65">
        <v>1</v>
      </c>
      <c r="D66" s="35">
        <v>25</v>
      </c>
      <c r="E66" s="85" t="s">
        <v>107</v>
      </c>
      <c r="F66" s="34">
        <f>_xlfn.XLOOKUP(E66,Index!$A:$A,Index!$B:$B)</f>
        <v>6</v>
      </c>
      <c r="G66" s="1"/>
      <c r="I66" s="1"/>
      <c r="J66" s="1"/>
      <c r="K66" s="1"/>
    </row>
    <row r="67" spans="1:11" ht="12.75" customHeight="1" x14ac:dyDescent="0.2">
      <c r="A67" s="26"/>
      <c r="B67" s="26"/>
      <c r="C67" s="65">
        <v>1.25</v>
      </c>
      <c r="D67" s="35">
        <v>32</v>
      </c>
      <c r="E67" s="85" t="s">
        <v>108</v>
      </c>
      <c r="F67" s="34">
        <f>_xlfn.XLOOKUP(E67,Index!$A:$A,Index!$B:$B)</f>
        <v>7.75</v>
      </c>
      <c r="G67" s="1"/>
      <c r="I67" s="1"/>
      <c r="J67" s="1"/>
      <c r="K67" s="1"/>
    </row>
    <row r="68" spans="1:11" ht="12.75" customHeight="1" x14ac:dyDescent="0.2">
      <c r="A68" s="26"/>
      <c r="B68" s="26"/>
      <c r="C68" s="65">
        <v>1.5</v>
      </c>
      <c r="D68" s="35">
        <v>40</v>
      </c>
      <c r="E68" s="85" t="s">
        <v>109</v>
      </c>
      <c r="F68" s="34">
        <f>_xlfn.XLOOKUP(E68,Index!$A:$A,Index!$B:$B)</f>
        <v>8.5</v>
      </c>
      <c r="G68" s="1"/>
      <c r="I68" s="1"/>
      <c r="J68" s="1"/>
      <c r="K68" s="1"/>
    </row>
    <row r="69" spans="1:11" ht="12.75" customHeight="1" x14ac:dyDescent="0.2">
      <c r="A69" s="26"/>
      <c r="B69" s="26"/>
      <c r="C69" s="65">
        <v>2</v>
      </c>
      <c r="D69" s="35">
        <v>50</v>
      </c>
      <c r="E69" s="85" t="s">
        <v>110</v>
      </c>
      <c r="F69" s="34">
        <f>_xlfn.XLOOKUP(E69,Index!$A:$A,Index!$B:$B)</f>
        <v>9</v>
      </c>
      <c r="G69" s="1"/>
      <c r="I69" s="1"/>
      <c r="J69" s="1"/>
      <c r="K69" s="1"/>
    </row>
    <row r="70" spans="1:11" ht="12.75" customHeight="1" x14ac:dyDescent="0.2">
      <c r="A70" s="26"/>
      <c r="B70" s="26"/>
      <c r="C70" s="65">
        <v>2.5</v>
      </c>
      <c r="D70" s="35">
        <v>65</v>
      </c>
      <c r="E70" s="85" t="s">
        <v>111</v>
      </c>
      <c r="F70" s="34">
        <f>_xlfn.XLOOKUP(E70,Index!$A:$A,Index!$B:$B)</f>
        <v>12.5</v>
      </c>
      <c r="G70" s="1"/>
      <c r="I70" s="1"/>
      <c r="J70" s="1"/>
      <c r="K70" s="1"/>
    </row>
    <row r="71" spans="1:11" ht="12.75" customHeight="1" x14ac:dyDescent="0.2">
      <c r="A71" s="26"/>
      <c r="B71" s="26"/>
      <c r="C71" s="65">
        <v>3</v>
      </c>
      <c r="D71" s="35">
        <v>80</v>
      </c>
      <c r="E71" s="85" t="s">
        <v>111</v>
      </c>
      <c r="F71" s="34">
        <f>_xlfn.XLOOKUP(E71,Index!$A:$A,Index!$B:$B)</f>
        <v>12.5</v>
      </c>
      <c r="G71" s="1"/>
      <c r="I71" s="1"/>
      <c r="J71" s="1"/>
      <c r="K71" s="1"/>
    </row>
    <row r="72" spans="1:11" ht="12.75" customHeight="1" x14ac:dyDescent="0.2">
      <c r="A72" s="26"/>
      <c r="B72" s="26"/>
      <c r="C72" s="65">
        <v>4</v>
      </c>
      <c r="D72" s="35">
        <v>100</v>
      </c>
      <c r="E72" s="85" t="s">
        <v>112</v>
      </c>
      <c r="F72" s="34">
        <f>_xlfn.XLOOKUP(E72,Index!$A:$A,Index!$B:$B)</f>
        <v>15.75</v>
      </c>
      <c r="G72" s="1"/>
      <c r="I72" s="1"/>
      <c r="J72" s="1"/>
      <c r="K72" s="1"/>
    </row>
    <row r="73" spans="1:11" ht="12.75" customHeight="1" x14ac:dyDescent="0.2">
      <c r="A73" s="26"/>
      <c r="B73" s="60" t="s">
        <v>51</v>
      </c>
      <c r="C73" s="65">
        <v>0.25</v>
      </c>
      <c r="D73" s="35">
        <v>6</v>
      </c>
      <c r="E73" s="85" t="s">
        <v>113</v>
      </c>
      <c r="F73" s="34">
        <f>_xlfn.XLOOKUP(E73,Index!$A:$A,Index!$B:$B)</f>
        <v>8.25</v>
      </c>
      <c r="G73" s="1"/>
      <c r="I73" s="1"/>
      <c r="J73" s="1"/>
      <c r="K73" s="1"/>
    </row>
    <row r="74" spans="1:11" ht="12.75" customHeight="1" x14ac:dyDescent="0.2">
      <c r="A74" s="26"/>
      <c r="B74" s="26"/>
      <c r="C74" s="65">
        <v>0.375</v>
      </c>
      <c r="D74" s="35">
        <v>10</v>
      </c>
      <c r="E74" s="85" t="s">
        <v>113</v>
      </c>
      <c r="F74" s="34">
        <f>_xlfn.XLOOKUP(E74,Index!$A:$A,Index!$B:$B)</f>
        <v>8.25</v>
      </c>
      <c r="G74" s="1"/>
      <c r="I74" s="1"/>
      <c r="J74" s="1"/>
      <c r="K74" s="1"/>
    </row>
    <row r="75" spans="1:11" ht="12.75" customHeight="1" x14ac:dyDescent="0.2">
      <c r="A75" s="26"/>
      <c r="B75" s="26"/>
      <c r="C75" s="65">
        <v>0.5</v>
      </c>
      <c r="D75" s="35">
        <v>15</v>
      </c>
      <c r="E75" s="85" t="s">
        <v>113</v>
      </c>
      <c r="F75" s="34">
        <f>_xlfn.XLOOKUP(E75,Index!$A:$A,Index!$B:$B)</f>
        <v>8.25</v>
      </c>
      <c r="G75" s="1"/>
      <c r="I75" s="1"/>
      <c r="J75" s="1"/>
      <c r="K75" s="1"/>
    </row>
    <row r="76" spans="1:11" ht="12.75" customHeight="1" x14ac:dyDescent="0.2">
      <c r="A76" s="26"/>
      <c r="B76" s="26"/>
      <c r="C76" s="65">
        <v>0.75</v>
      </c>
      <c r="D76" s="35">
        <v>20</v>
      </c>
      <c r="E76" s="85" t="s">
        <v>114</v>
      </c>
      <c r="F76" s="34">
        <f>_xlfn.XLOOKUP(E76,Index!$A:$A,Index!$B:$B)</f>
        <v>8.75</v>
      </c>
      <c r="G76" s="1"/>
      <c r="I76" s="1"/>
      <c r="J76" s="1"/>
      <c r="K76" s="1"/>
    </row>
    <row r="77" spans="1:11" ht="12.75" customHeight="1" x14ac:dyDescent="0.2">
      <c r="A77" s="26"/>
      <c r="B77" s="26"/>
      <c r="C77" s="65">
        <v>1</v>
      </c>
      <c r="D77" s="35">
        <v>25</v>
      </c>
      <c r="E77" s="85" t="s">
        <v>115</v>
      </c>
      <c r="F77" s="34">
        <f>_xlfn.XLOOKUP(E77,Index!$A:$A,Index!$B:$B)</f>
        <v>8.75</v>
      </c>
      <c r="G77" s="1"/>
      <c r="I77" s="1"/>
      <c r="J77" s="1"/>
      <c r="K77" s="1"/>
    </row>
    <row r="78" spans="1:11" ht="12.75" customHeight="1" x14ac:dyDescent="0.2">
      <c r="A78" s="26"/>
      <c r="B78" s="26"/>
      <c r="C78" s="65">
        <v>1.25</v>
      </c>
      <c r="D78" s="35">
        <v>32</v>
      </c>
      <c r="E78" s="85" t="s">
        <v>116</v>
      </c>
      <c r="F78" s="34">
        <f>_xlfn.XLOOKUP(E78,Index!$A:$A,Index!$B:$B)</f>
        <v>8.75</v>
      </c>
      <c r="G78" s="1"/>
      <c r="I78" s="1"/>
      <c r="J78" s="1"/>
      <c r="K78" s="1"/>
    </row>
    <row r="79" spans="1:11" ht="12.75" customHeight="1" x14ac:dyDescent="0.2">
      <c r="A79" s="26"/>
      <c r="B79" s="26"/>
      <c r="C79" s="65">
        <v>1.5</v>
      </c>
      <c r="D79" s="35">
        <v>40</v>
      </c>
      <c r="E79" s="85" t="s">
        <v>117</v>
      </c>
      <c r="F79" s="34">
        <f>_xlfn.XLOOKUP(E79,Index!$A:$A,Index!$B:$B)</f>
        <v>13</v>
      </c>
      <c r="G79" s="1"/>
      <c r="I79" s="1"/>
      <c r="J79" s="1"/>
      <c r="K79" s="1"/>
    </row>
    <row r="80" spans="1:11" ht="12.75" customHeight="1" x14ac:dyDescent="0.2">
      <c r="A80" s="26"/>
      <c r="B80" s="26"/>
      <c r="C80" s="65">
        <v>2</v>
      </c>
      <c r="D80" s="35">
        <v>50</v>
      </c>
      <c r="E80" s="85" t="s">
        <v>118</v>
      </c>
      <c r="F80" s="34">
        <f>_xlfn.XLOOKUP(E80,Index!$A:$A,Index!$B:$B)</f>
        <v>16.75</v>
      </c>
      <c r="G80" s="1"/>
      <c r="I80" s="1"/>
      <c r="J80" s="1"/>
      <c r="K80" s="1"/>
    </row>
    <row r="81" spans="1:11" ht="12.75" customHeight="1" x14ac:dyDescent="0.2">
      <c r="A81" s="66"/>
      <c r="B81" s="60" t="s">
        <v>119</v>
      </c>
      <c r="C81" s="67">
        <v>2.5</v>
      </c>
      <c r="D81" s="35">
        <v>65</v>
      </c>
      <c r="E81" s="85" t="s">
        <v>120</v>
      </c>
      <c r="F81" s="34">
        <f>_xlfn.XLOOKUP(E81,Index!$A:$A,Index!$B:$B)</f>
        <v>59.25</v>
      </c>
      <c r="G81" s="1"/>
      <c r="I81" s="1"/>
      <c r="J81" s="1"/>
      <c r="K81" s="1"/>
    </row>
    <row r="82" spans="1:11" ht="12.75" customHeight="1" x14ac:dyDescent="0.2">
      <c r="A82" s="26"/>
      <c r="B82" s="26"/>
      <c r="C82" s="65">
        <v>3</v>
      </c>
      <c r="D82" s="35">
        <v>80</v>
      </c>
      <c r="E82" s="85" t="s">
        <v>120</v>
      </c>
      <c r="F82" s="34">
        <f>_xlfn.XLOOKUP(E82,Index!$A:$A,Index!$B:$B)</f>
        <v>59.25</v>
      </c>
      <c r="G82" s="1"/>
      <c r="I82" s="1"/>
      <c r="J82" s="1"/>
      <c r="K82" s="1"/>
    </row>
    <row r="83" spans="1:11" ht="12.75" customHeight="1" x14ac:dyDescent="0.2">
      <c r="A83" s="26"/>
      <c r="B83" s="26"/>
      <c r="C83" s="65">
        <v>4</v>
      </c>
      <c r="D83" s="35">
        <v>100</v>
      </c>
      <c r="E83" s="85" t="s">
        <v>121</v>
      </c>
      <c r="F83" s="34">
        <f>_xlfn.XLOOKUP(E83,Index!$A:$A,Index!$B:$B)</f>
        <v>59.25</v>
      </c>
      <c r="G83" s="1"/>
      <c r="I83" s="1"/>
      <c r="J83" s="1"/>
      <c r="K83" s="1"/>
    </row>
    <row r="84" spans="1:11" ht="12.75" customHeight="1" x14ac:dyDescent="0.2">
      <c r="A84" s="26"/>
      <c r="B84" s="60" t="s">
        <v>122</v>
      </c>
      <c r="C84" s="65">
        <v>0.25</v>
      </c>
      <c r="D84" s="35">
        <v>6</v>
      </c>
      <c r="E84" s="85" t="s">
        <v>123</v>
      </c>
      <c r="F84" s="34">
        <f>_xlfn.XLOOKUP(E84,Index!$A:$A,Index!$B:$B)</f>
        <v>57.5</v>
      </c>
      <c r="G84" s="1"/>
      <c r="I84" s="1"/>
      <c r="J84" s="1"/>
      <c r="K84" s="1"/>
    </row>
    <row r="85" spans="1:11" ht="12.75" customHeight="1" x14ac:dyDescent="0.2">
      <c r="A85" s="26"/>
      <c r="B85" s="26"/>
      <c r="C85" s="65">
        <v>0.375</v>
      </c>
      <c r="D85" s="35">
        <v>10</v>
      </c>
      <c r="E85" s="85" t="s">
        <v>124</v>
      </c>
      <c r="F85" s="34">
        <f>_xlfn.XLOOKUP(E85,Index!$A:$A,Index!$B:$B)</f>
        <v>57.5</v>
      </c>
      <c r="G85" s="1"/>
      <c r="I85" s="1"/>
      <c r="J85" s="1"/>
      <c r="K85" s="1"/>
    </row>
    <row r="86" spans="1:11" ht="12.75" customHeight="1" x14ac:dyDescent="0.2">
      <c r="A86" s="26"/>
      <c r="B86" s="26"/>
      <c r="C86" s="65">
        <v>0.5</v>
      </c>
      <c r="D86" s="35">
        <v>15</v>
      </c>
      <c r="E86" s="85" t="s">
        <v>125</v>
      </c>
      <c r="F86" s="34">
        <f>_xlfn.XLOOKUP(E86,Index!$A:$A,Index!$B:$B)</f>
        <v>63.5</v>
      </c>
      <c r="G86" s="1"/>
      <c r="I86" s="1"/>
      <c r="J86" s="1"/>
      <c r="K86" s="1"/>
    </row>
    <row r="87" spans="1:11" ht="12.75" customHeight="1" x14ac:dyDescent="0.2">
      <c r="A87" s="26"/>
      <c r="B87" s="26"/>
      <c r="C87" s="65">
        <v>0.75</v>
      </c>
      <c r="D87" s="35">
        <v>20</v>
      </c>
      <c r="E87" s="85" t="s">
        <v>126</v>
      </c>
      <c r="F87" s="34">
        <f>_xlfn.XLOOKUP(E87,Index!$A:$A,Index!$B:$B)</f>
        <v>63.5</v>
      </c>
      <c r="G87" s="1"/>
      <c r="I87" s="1"/>
      <c r="J87" s="1"/>
      <c r="K87" s="1"/>
    </row>
    <row r="88" spans="1:11" ht="12.75" customHeight="1" x14ac:dyDescent="0.2">
      <c r="A88" s="26"/>
      <c r="B88" s="26"/>
      <c r="C88" s="65">
        <v>1</v>
      </c>
      <c r="D88" s="35">
        <v>25</v>
      </c>
      <c r="E88" s="85" t="s">
        <v>127</v>
      </c>
      <c r="F88" s="34">
        <f>_xlfn.XLOOKUP(E88,Index!$A:$A,Index!$B:$B)</f>
        <v>73.5</v>
      </c>
      <c r="G88" s="1"/>
      <c r="I88" s="1"/>
      <c r="J88" s="1"/>
      <c r="K88" s="1"/>
    </row>
    <row r="89" spans="1:11" ht="12.75" customHeight="1" x14ac:dyDescent="0.2">
      <c r="A89" s="26"/>
      <c r="B89" s="26"/>
      <c r="C89" s="65">
        <v>1.25</v>
      </c>
      <c r="D89" s="35">
        <v>32</v>
      </c>
      <c r="E89" s="85" t="s">
        <v>128</v>
      </c>
      <c r="F89" s="34">
        <f>_xlfn.XLOOKUP(E89,Index!$A:$A,Index!$B:$B)</f>
        <v>80.5</v>
      </c>
      <c r="G89" s="1"/>
      <c r="I89" s="1"/>
      <c r="J89" s="1"/>
      <c r="K89" s="1"/>
    </row>
    <row r="90" spans="1:11" ht="12.75" customHeight="1" x14ac:dyDescent="0.2">
      <c r="A90" s="26"/>
      <c r="B90" s="26"/>
      <c r="C90" s="65">
        <v>1.5</v>
      </c>
      <c r="D90" s="35">
        <v>40</v>
      </c>
      <c r="E90" s="85" t="s">
        <v>129</v>
      </c>
      <c r="F90" s="34">
        <f>_xlfn.XLOOKUP(E90,Index!$A:$A,Index!$B:$B)</f>
        <v>88.5</v>
      </c>
      <c r="G90" s="1"/>
      <c r="I90" s="1"/>
      <c r="J90" s="1"/>
      <c r="K90" s="1"/>
    </row>
    <row r="91" spans="1:11" ht="12.75" customHeight="1" x14ac:dyDescent="0.2">
      <c r="A91" s="26"/>
      <c r="B91" s="26"/>
      <c r="C91" s="65">
        <v>2</v>
      </c>
      <c r="D91" s="35">
        <v>50</v>
      </c>
      <c r="E91" s="85" t="s">
        <v>130</v>
      </c>
      <c r="F91" s="34">
        <f>_xlfn.XLOOKUP(E91,Index!$A:$A,Index!$B:$B)</f>
        <v>88.5</v>
      </c>
      <c r="G91" s="1"/>
      <c r="I91" s="1"/>
      <c r="J91" s="1"/>
      <c r="K91" s="1"/>
    </row>
    <row r="92" spans="1:11" ht="12.75" customHeight="1" x14ac:dyDescent="0.2">
      <c r="A92" s="26"/>
      <c r="B92" s="26"/>
      <c r="C92" s="65">
        <v>2.5</v>
      </c>
      <c r="D92" s="35">
        <v>65</v>
      </c>
      <c r="E92" s="85" t="s">
        <v>131</v>
      </c>
      <c r="F92" s="34">
        <f>_xlfn.XLOOKUP(E92,Index!$A:$A,Index!$B:$B)</f>
        <v>93.5</v>
      </c>
      <c r="G92" s="1"/>
      <c r="I92" s="1"/>
      <c r="J92" s="1"/>
      <c r="K92" s="1"/>
    </row>
    <row r="93" spans="1:11" ht="12.75" customHeight="1" x14ac:dyDescent="0.2">
      <c r="A93" s="26"/>
      <c r="B93" s="26"/>
      <c r="C93" s="65">
        <v>3</v>
      </c>
      <c r="D93" s="35">
        <v>80</v>
      </c>
      <c r="E93" s="85" t="s">
        <v>132</v>
      </c>
      <c r="F93" s="34">
        <f>_xlfn.XLOOKUP(E93,Index!$A:$A,Index!$B:$B)</f>
        <v>125</v>
      </c>
      <c r="G93" s="1"/>
      <c r="I93" s="1"/>
      <c r="J93" s="1"/>
      <c r="K93" s="1"/>
    </row>
    <row r="94" spans="1:11" ht="12.75" customHeight="1" x14ac:dyDescent="0.2">
      <c r="A94" s="26"/>
      <c r="B94" s="26"/>
      <c r="C94" s="65">
        <v>4</v>
      </c>
      <c r="D94" s="35">
        <v>100</v>
      </c>
      <c r="E94" s="85" t="s">
        <v>133</v>
      </c>
      <c r="F94" s="34">
        <f>_xlfn.XLOOKUP(E94,Index!$A:$A,Index!$B:$B)</f>
        <v>181</v>
      </c>
      <c r="G94" s="1"/>
      <c r="I94" s="1"/>
      <c r="J94" s="1"/>
      <c r="K94" s="1"/>
    </row>
    <row r="95" spans="1:11" ht="12.75" customHeight="1" x14ac:dyDescent="0.2">
      <c r="A95" s="26"/>
      <c r="B95" s="60" t="s">
        <v>134</v>
      </c>
      <c r="C95" s="65">
        <v>0.25</v>
      </c>
      <c r="D95" s="35">
        <v>6</v>
      </c>
      <c r="E95" s="14" t="s">
        <v>5542</v>
      </c>
      <c r="F95" s="250">
        <f>F96</f>
        <v>57</v>
      </c>
      <c r="G95" s="1"/>
      <c r="I95" s="1"/>
      <c r="J95" s="1"/>
      <c r="K95" s="1"/>
    </row>
    <row r="96" spans="1:11" ht="12.75" customHeight="1" x14ac:dyDescent="0.2">
      <c r="A96" s="26"/>
      <c r="B96" s="26"/>
      <c r="C96" s="65">
        <v>0.375</v>
      </c>
      <c r="D96" s="35">
        <v>10</v>
      </c>
      <c r="E96" s="85" t="s">
        <v>5542</v>
      </c>
      <c r="F96" s="34">
        <f>ROUND(F97*0.9,0)</f>
        <v>57</v>
      </c>
      <c r="G96" s="1"/>
      <c r="I96" s="1"/>
      <c r="J96" s="1"/>
      <c r="K96" s="1"/>
    </row>
    <row r="97" spans="1:11" ht="12.75" customHeight="1" x14ac:dyDescent="0.2">
      <c r="A97" s="26"/>
      <c r="B97" s="26"/>
      <c r="C97" s="65">
        <v>0.5</v>
      </c>
      <c r="D97" s="35">
        <v>15</v>
      </c>
      <c r="E97" s="85" t="s">
        <v>136</v>
      </c>
      <c r="F97" s="34">
        <f>_xlfn.XLOOKUP(E97,Index!$A:$A,Index!$B:$B)</f>
        <v>63.5</v>
      </c>
      <c r="G97" s="1"/>
      <c r="I97" s="1"/>
      <c r="J97" s="1"/>
      <c r="K97" s="1"/>
    </row>
    <row r="98" spans="1:11" ht="12.75" customHeight="1" x14ac:dyDescent="0.2">
      <c r="A98" s="26"/>
      <c r="B98" s="26"/>
      <c r="C98" s="65">
        <v>0.75</v>
      </c>
      <c r="D98" s="35">
        <v>20</v>
      </c>
      <c r="E98" s="85" t="s">
        <v>137</v>
      </c>
      <c r="F98" s="34">
        <f>_xlfn.XLOOKUP(E98,Index!$A:$A,Index!$B:$B)</f>
        <v>63.5</v>
      </c>
      <c r="G98" s="1"/>
      <c r="I98" s="1"/>
      <c r="J98" s="1"/>
      <c r="K98" s="1"/>
    </row>
    <row r="99" spans="1:11" ht="12.75" customHeight="1" x14ac:dyDescent="0.2">
      <c r="A99" s="26"/>
      <c r="B99" s="26"/>
      <c r="C99" s="65">
        <v>1</v>
      </c>
      <c r="D99" s="35">
        <v>25</v>
      </c>
      <c r="E99" s="85" t="s">
        <v>138</v>
      </c>
      <c r="F99" s="34">
        <f>_xlfn.XLOOKUP(E99,Index!$A:$A,Index!$B:$B)</f>
        <v>73.5</v>
      </c>
      <c r="G99" s="1"/>
      <c r="I99" s="1"/>
      <c r="J99" s="1"/>
      <c r="K99" s="1"/>
    </row>
    <row r="100" spans="1:11" ht="12.75" customHeight="1" x14ac:dyDescent="0.2">
      <c r="A100" s="26"/>
      <c r="B100" s="26"/>
      <c r="C100" s="65">
        <v>1.25</v>
      </c>
      <c r="D100" s="35">
        <v>32</v>
      </c>
      <c r="E100" s="85" t="s">
        <v>139</v>
      </c>
      <c r="F100" s="34">
        <f>_xlfn.XLOOKUP(E100,Index!$A:$A,Index!$B:$B)</f>
        <v>80.5</v>
      </c>
      <c r="G100" s="1"/>
      <c r="I100" s="1"/>
      <c r="J100" s="1"/>
      <c r="K100" s="1"/>
    </row>
    <row r="101" spans="1:11" ht="12.75" customHeight="1" x14ac:dyDescent="0.2">
      <c r="A101" s="26"/>
      <c r="B101" s="26"/>
      <c r="C101" s="65">
        <v>1.5</v>
      </c>
      <c r="D101" s="35">
        <v>40</v>
      </c>
      <c r="E101" s="85" t="s">
        <v>140</v>
      </c>
      <c r="F101" s="34">
        <f>_xlfn.XLOOKUP(E101,Index!$A:$A,Index!$B:$B)</f>
        <v>88.5</v>
      </c>
      <c r="G101" s="1"/>
      <c r="I101" s="1"/>
      <c r="J101" s="1"/>
      <c r="K101" s="1"/>
    </row>
    <row r="102" spans="1:11" ht="12.75" customHeight="1" x14ac:dyDescent="0.2">
      <c r="A102" s="26"/>
      <c r="B102" s="26"/>
      <c r="C102" s="65">
        <v>2</v>
      </c>
      <c r="D102" s="35">
        <v>50</v>
      </c>
      <c r="E102" s="85" t="s">
        <v>141</v>
      </c>
      <c r="F102" s="34">
        <f>_xlfn.XLOOKUP(E102,Index!$A:$A,Index!$B:$B)</f>
        <v>88.5</v>
      </c>
      <c r="G102" s="1"/>
      <c r="I102" s="1"/>
      <c r="J102" s="1"/>
      <c r="K102" s="1"/>
    </row>
    <row r="103" spans="1:11" ht="12.75" customHeight="1" x14ac:dyDescent="0.2">
      <c r="A103" s="26"/>
      <c r="B103" s="26"/>
      <c r="C103" s="65">
        <v>2.5</v>
      </c>
      <c r="D103" s="35">
        <v>65</v>
      </c>
      <c r="E103" s="85" t="s">
        <v>142</v>
      </c>
      <c r="F103" s="34">
        <f>_xlfn.XLOOKUP(E103,Index!$A:$A,Index!$B:$B)</f>
        <v>93.5</v>
      </c>
      <c r="G103" s="1"/>
      <c r="I103" s="1"/>
      <c r="J103" s="1"/>
      <c r="K103" s="1"/>
    </row>
    <row r="104" spans="1:11" ht="12.75" customHeight="1" x14ac:dyDescent="0.2">
      <c r="A104" s="26"/>
      <c r="B104" s="26"/>
      <c r="C104" s="65">
        <v>3</v>
      </c>
      <c r="D104" s="35">
        <v>80</v>
      </c>
      <c r="E104" s="85" t="s">
        <v>143</v>
      </c>
      <c r="F104" s="34">
        <f>_xlfn.XLOOKUP(E104,Index!$A:$A,Index!$B:$B)</f>
        <v>125</v>
      </c>
      <c r="G104" s="1"/>
      <c r="I104" s="1"/>
      <c r="J104" s="1"/>
      <c r="K104" s="1"/>
    </row>
    <row r="105" spans="1:11" ht="12.75" customHeight="1" x14ac:dyDescent="0.2">
      <c r="A105" s="26"/>
      <c r="B105" s="26"/>
      <c r="C105" s="65">
        <v>4</v>
      </c>
      <c r="D105" s="35">
        <v>100</v>
      </c>
      <c r="E105" s="85" t="s">
        <v>144</v>
      </c>
      <c r="F105" s="34">
        <f>_xlfn.XLOOKUP(E105,Index!$A:$A,Index!$B:$B)</f>
        <v>181</v>
      </c>
      <c r="G105" s="1"/>
      <c r="I105" s="1"/>
      <c r="J105" s="1"/>
      <c r="K105" s="1"/>
    </row>
    <row r="106" spans="1:11" ht="12.75" customHeight="1" x14ac:dyDescent="0.2">
      <c r="A106" s="26"/>
      <c r="B106" s="60" t="s">
        <v>145</v>
      </c>
      <c r="C106" s="65">
        <v>0.25</v>
      </c>
      <c r="D106" s="35">
        <v>6</v>
      </c>
      <c r="E106" s="85" t="s">
        <v>146</v>
      </c>
      <c r="F106" s="34">
        <f>_xlfn.XLOOKUP(E106,Index!$A:$A,Index!$B:$B)</f>
        <v>57.5</v>
      </c>
      <c r="G106" s="1"/>
      <c r="I106" s="1"/>
      <c r="J106" s="1"/>
      <c r="K106" s="1"/>
    </row>
    <row r="107" spans="1:11" ht="12.75" customHeight="1" x14ac:dyDescent="0.2">
      <c r="A107" s="26"/>
      <c r="B107" s="26"/>
      <c r="C107" s="65">
        <v>0.375</v>
      </c>
      <c r="D107" s="35">
        <v>10</v>
      </c>
      <c r="E107" s="14" t="s">
        <v>5542</v>
      </c>
      <c r="F107" s="46">
        <f>F106</f>
        <v>57.5</v>
      </c>
      <c r="G107" s="1"/>
      <c r="I107" s="1"/>
      <c r="J107" s="1"/>
      <c r="K107" s="1"/>
    </row>
    <row r="108" spans="1:11" ht="12.75" customHeight="1" x14ac:dyDescent="0.2">
      <c r="A108" s="26"/>
      <c r="B108" s="26"/>
      <c r="C108" s="65">
        <v>0.5</v>
      </c>
      <c r="D108" s="35">
        <v>15</v>
      </c>
      <c r="E108" s="85" t="s">
        <v>147</v>
      </c>
      <c r="F108" s="34">
        <f>_xlfn.XLOOKUP(E108,Index!$A:$A,Index!$B:$B)</f>
        <v>63.5</v>
      </c>
      <c r="G108" s="1"/>
      <c r="I108" s="1"/>
      <c r="J108" s="1"/>
      <c r="K108" s="1"/>
    </row>
    <row r="109" spans="1:11" ht="12.75" customHeight="1" x14ac:dyDescent="0.2">
      <c r="A109" s="26"/>
      <c r="B109" s="26"/>
      <c r="C109" s="65">
        <v>0.75</v>
      </c>
      <c r="D109" s="35">
        <v>20</v>
      </c>
      <c r="E109" s="85" t="s">
        <v>148</v>
      </c>
      <c r="F109" s="34">
        <f>_xlfn.XLOOKUP(E109,Index!$A:$A,Index!$B:$B)</f>
        <v>63.5</v>
      </c>
      <c r="G109" s="1"/>
      <c r="I109" s="1"/>
      <c r="J109" s="1"/>
      <c r="K109" s="1"/>
    </row>
    <row r="110" spans="1:11" ht="12.75" customHeight="1" x14ac:dyDescent="0.2">
      <c r="A110" s="26"/>
      <c r="B110" s="26"/>
      <c r="C110" s="65">
        <v>1</v>
      </c>
      <c r="D110" s="35">
        <v>25</v>
      </c>
      <c r="E110" s="85" t="s">
        <v>149</v>
      </c>
      <c r="F110" s="34">
        <f>_xlfn.XLOOKUP(E110,Index!$A:$A,Index!$B:$B)</f>
        <v>73.5</v>
      </c>
      <c r="G110" s="1"/>
      <c r="I110" s="1"/>
      <c r="J110" s="1"/>
      <c r="K110" s="1"/>
    </row>
    <row r="111" spans="1:11" ht="12.75" customHeight="1" x14ac:dyDescent="0.2">
      <c r="A111" s="26"/>
      <c r="B111" s="26"/>
      <c r="C111" s="65">
        <v>1.25</v>
      </c>
      <c r="D111" s="35">
        <v>32</v>
      </c>
      <c r="E111" s="85" t="s">
        <v>150</v>
      </c>
      <c r="F111" s="34">
        <f>_xlfn.XLOOKUP(E111,Index!$A:$A,Index!$B:$B)</f>
        <v>80.5</v>
      </c>
      <c r="G111" s="1"/>
      <c r="I111" s="1"/>
      <c r="J111" s="1"/>
      <c r="K111" s="1"/>
    </row>
    <row r="112" spans="1:11" ht="12.75" customHeight="1" x14ac:dyDescent="0.2">
      <c r="A112" s="26"/>
      <c r="B112" s="26"/>
      <c r="C112" s="65">
        <v>1.5</v>
      </c>
      <c r="D112" s="35">
        <v>40</v>
      </c>
      <c r="E112" s="85" t="s">
        <v>151</v>
      </c>
      <c r="F112" s="34">
        <f>_xlfn.XLOOKUP(E112,Index!$A:$A,Index!$B:$B)</f>
        <v>88.5</v>
      </c>
      <c r="G112" s="1"/>
      <c r="I112" s="1"/>
      <c r="J112" s="1"/>
      <c r="K112" s="1"/>
    </row>
    <row r="113" spans="1:11" ht="12.75" customHeight="1" x14ac:dyDescent="0.2">
      <c r="A113" s="26"/>
      <c r="B113" s="26"/>
      <c r="C113" s="65">
        <v>2</v>
      </c>
      <c r="D113" s="35">
        <v>50</v>
      </c>
      <c r="E113" s="85" t="s">
        <v>152</v>
      </c>
      <c r="F113" s="34">
        <f>_xlfn.XLOOKUP(E113,Index!$A:$A,Index!$B:$B)</f>
        <v>88.5</v>
      </c>
      <c r="G113" s="1"/>
      <c r="I113" s="1"/>
      <c r="J113" s="1"/>
      <c r="K113" s="1"/>
    </row>
    <row r="114" spans="1:11" ht="12.75" customHeight="1" x14ac:dyDescent="0.2">
      <c r="A114" s="26"/>
      <c r="B114" s="26"/>
      <c r="C114" s="65">
        <v>2.5</v>
      </c>
      <c r="D114" s="35">
        <v>65</v>
      </c>
      <c r="E114" s="14" t="s">
        <v>5542</v>
      </c>
      <c r="F114" s="46">
        <f>F113+3</f>
        <v>91.5</v>
      </c>
      <c r="G114" s="1"/>
      <c r="I114" s="1"/>
      <c r="J114" s="1"/>
      <c r="K114" s="1"/>
    </row>
    <row r="115" spans="1:11" ht="12.75" customHeight="1" x14ac:dyDescent="0.2">
      <c r="A115" s="26"/>
      <c r="B115" s="26"/>
      <c r="C115" s="65">
        <v>3</v>
      </c>
      <c r="D115" s="35">
        <v>80</v>
      </c>
      <c r="E115" s="85" t="s">
        <v>153</v>
      </c>
      <c r="F115" s="34">
        <f>_xlfn.XLOOKUP(E115,Index!$A:$A,Index!$B:$B)</f>
        <v>125</v>
      </c>
      <c r="G115" s="1"/>
      <c r="I115" s="1"/>
      <c r="J115" s="1"/>
      <c r="K115" s="1"/>
    </row>
    <row r="116" spans="1:11" ht="12.75" customHeight="1" x14ac:dyDescent="0.2">
      <c r="A116" s="26"/>
      <c r="B116" s="26"/>
      <c r="C116" s="65">
        <v>4</v>
      </c>
      <c r="D116" s="35">
        <v>100</v>
      </c>
      <c r="E116" s="85" t="s">
        <v>154</v>
      </c>
      <c r="F116" s="34">
        <f>_xlfn.XLOOKUP(E116,Index!$A:$A,Index!$B:$B)</f>
        <v>266.5</v>
      </c>
      <c r="G116" s="1"/>
      <c r="I116" s="1"/>
      <c r="J116" s="1"/>
      <c r="K116" s="1"/>
    </row>
    <row r="117" spans="1:11" ht="12.75" customHeight="1" x14ac:dyDescent="0.2">
      <c r="A117" s="26"/>
      <c r="B117" s="60" t="s">
        <v>155</v>
      </c>
      <c r="C117" s="65">
        <v>0.25</v>
      </c>
      <c r="D117" s="35">
        <v>6</v>
      </c>
      <c r="E117" s="85" t="s">
        <v>156</v>
      </c>
      <c r="F117" s="34">
        <f>_xlfn.XLOOKUP(E117,Index!$A:$A,Index!$B:$B)</f>
        <v>57.5</v>
      </c>
      <c r="G117" s="1"/>
      <c r="I117" s="1"/>
      <c r="J117" s="1"/>
      <c r="K117" s="1"/>
    </row>
    <row r="118" spans="1:11" ht="12.75" customHeight="1" x14ac:dyDescent="0.2">
      <c r="A118" s="26"/>
      <c r="B118" s="26"/>
      <c r="C118" s="65">
        <v>0.375</v>
      </c>
      <c r="D118" s="35">
        <v>10</v>
      </c>
      <c r="E118" s="85" t="s">
        <v>157</v>
      </c>
      <c r="F118" s="34">
        <f>_xlfn.XLOOKUP(E118,Index!$A:$A,Index!$B:$B)</f>
        <v>57.5</v>
      </c>
      <c r="G118" s="1"/>
      <c r="I118" s="1"/>
      <c r="J118" s="1"/>
      <c r="K118" s="1"/>
    </row>
    <row r="119" spans="1:11" ht="12.75" customHeight="1" x14ac:dyDescent="0.2">
      <c r="A119" s="26"/>
      <c r="B119" s="26"/>
      <c r="C119" s="65">
        <v>0.5</v>
      </c>
      <c r="D119" s="35">
        <v>15</v>
      </c>
      <c r="E119" s="85" t="s">
        <v>158</v>
      </c>
      <c r="F119" s="34">
        <f>_xlfn.XLOOKUP(E119,Index!$A:$A,Index!$B:$B)</f>
        <v>63.5</v>
      </c>
      <c r="G119" s="1"/>
      <c r="I119" s="1"/>
      <c r="J119" s="1"/>
      <c r="K119" s="1"/>
    </row>
    <row r="120" spans="1:11" ht="12.75" customHeight="1" x14ac:dyDescent="0.2">
      <c r="A120" s="26"/>
      <c r="B120" s="26"/>
      <c r="C120" s="65">
        <v>0.75</v>
      </c>
      <c r="D120" s="35">
        <v>20</v>
      </c>
      <c r="E120" s="85" t="s">
        <v>159</v>
      </c>
      <c r="F120" s="34">
        <f>_xlfn.XLOOKUP(E120,Index!$A:$A,Index!$B:$B)</f>
        <v>63.5</v>
      </c>
      <c r="G120" s="1"/>
      <c r="I120" s="1"/>
      <c r="J120" s="1"/>
      <c r="K120" s="1"/>
    </row>
    <row r="121" spans="1:11" ht="12.75" customHeight="1" x14ac:dyDescent="0.2">
      <c r="A121" s="26"/>
      <c r="B121" s="26"/>
      <c r="C121" s="65">
        <v>1</v>
      </c>
      <c r="D121" s="35">
        <v>25</v>
      </c>
      <c r="E121" s="85" t="s">
        <v>160</v>
      </c>
      <c r="F121" s="34">
        <f>_xlfn.XLOOKUP(E121,Index!$A:$A,Index!$B:$B)</f>
        <v>73.5</v>
      </c>
      <c r="G121" s="1"/>
      <c r="I121" s="1"/>
      <c r="J121" s="1"/>
      <c r="K121" s="1"/>
    </row>
    <row r="122" spans="1:11" ht="12.75" customHeight="1" x14ac:dyDescent="0.2">
      <c r="A122" s="26"/>
      <c r="B122" s="26"/>
      <c r="C122" s="65">
        <v>1.25</v>
      </c>
      <c r="D122" s="35">
        <v>32</v>
      </c>
      <c r="E122" s="14" t="s">
        <v>161</v>
      </c>
      <c r="F122" s="34">
        <f>_xlfn.XLOOKUP(E122,Index!$A:$A,Index!$B:$B)</f>
        <v>80.5</v>
      </c>
      <c r="G122" s="1"/>
      <c r="I122" s="1"/>
      <c r="J122" s="1"/>
      <c r="K122" s="1"/>
    </row>
    <row r="123" spans="1:11" ht="12.75" customHeight="1" x14ac:dyDescent="0.2">
      <c r="A123" s="26"/>
      <c r="B123" s="26"/>
      <c r="C123" s="65">
        <v>1.5</v>
      </c>
      <c r="D123" s="35">
        <v>40</v>
      </c>
      <c r="E123" s="85" t="s">
        <v>162</v>
      </c>
      <c r="F123" s="34">
        <f>_xlfn.XLOOKUP(E123,Index!$A:$A,Index!$B:$B)</f>
        <v>88.5</v>
      </c>
      <c r="G123" s="1"/>
      <c r="I123" s="1"/>
      <c r="J123" s="1"/>
      <c r="K123" s="1"/>
    </row>
    <row r="124" spans="1:11" ht="12.75" customHeight="1" x14ac:dyDescent="0.2">
      <c r="A124" s="26"/>
      <c r="B124" s="26"/>
      <c r="C124" s="65">
        <v>2</v>
      </c>
      <c r="D124" s="35">
        <v>50</v>
      </c>
      <c r="E124" s="85" t="s">
        <v>163</v>
      </c>
      <c r="F124" s="34">
        <f>_xlfn.XLOOKUP(E124,Index!$A:$A,Index!$B:$B)</f>
        <v>88.5</v>
      </c>
      <c r="G124" s="1"/>
      <c r="I124" s="1"/>
      <c r="J124" s="1"/>
      <c r="K124" s="1"/>
    </row>
    <row r="125" spans="1:11" ht="12.75" customHeight="1" x14ac:dyDescent="0.2">
      <c r="A125" s="26"/>
      <c r="B125" s="26"/>
      <c r="C125" s="65">
        <v>2.5</v>
      </c>
      <c r="D125" s="35">
        <v>65</v>
      </c>
      <c r="E125" s="85" t="s">
        <v>164</v>
      </c>
      <c r="F125" s="34">
        <f>_xlfn.XLOOKUP(E125,Index!$A:$A,Index!$B:$B)</f>
        <v>93.5</v>
      </c>
      <c r="G125" s="1"/>
      <c r="I125" s="1"/>
      <c r="J125" s="1"/>
      <c r="K125" s="1"/>
    </row>
    <row r="126" spans="1:11" ht="12.75" customHeight="1" x14ac:dyDescent="0.2">
      <c r="A126" s="26"/>
      <c r="B126" s="26"/>
      <c r="C126" s="65">
        <v>3</v>
      </c>
      <c r="D126" s="35">
        <v>80</v>
      </c>
      <c r="E126" s="85" t="s">
        <v>165</v>
      </c>
      <c r="F126" s="34">
        <f>_xlfn.XLOOKUP(E126,Index!$A:$A,Index!$B:$B)</f>
        <v>125</v>
      </c>
      <c r="G126" s="1"/>
      <c r="I126" s="1"/>
      <c r="J126" s="1"/>
      <c r="K126" s="1"/>
    </row>
    <row r="127" spans="1:11" ht="12.75" customHeight="1" x14ac:dyDescent="0.2">
      <c r="A127" s="26"/>
      <c r="B127" s="26"/>
      <c r="C127" s="65">
        <v>4</v>
      </c>
      <c r="D127" s="35">
        <v>100</v>
      </c>
      <c r="E127" s="85" t="s">
        <v>166</v>
      </c>
      <c r="F127" s="34">
        <f>_xlfn.XLOOKUP(E127,Index!$A:$A,Index!$B:$B)</f>
        <v>266.5</v>
      </c>
      <c r="G127" s="1"/>
      <c r="I127" s="1"/>
      <c r="J127" s="1"/>
      <c r="K127" s="1"/>
    </row>
    <row r="128" spans="1:11" ht="12.75" customHeight="1" x14ac:dyDescent="0.2">
      <c r="A128" s="26"/>
      <c r="B128" s="60" t="s">
        <v>167</v>
      </c>
      <c r="C128" s="65">
        <v>0.25</v>
      </c>
      <c r="D128" s="35">
        <v>6</v>
      </c>
      <c r="E128" s="85" t="s">
        <v>168</v>
      </c>
      <c r="F128" s="34">
        <f>_xlfn.XLOOKUP(E128,Index!$A:$A,Index!$B:$B)</f>
        <v>2.75</v>
      </c>
      <c r="G128" s="1"/>
      <c r="I128" s="1"/>
      <c r="J128" s="1"/>
      <c r="K128" s="1"/>
    </row>
    <row r="129" spans="1:15" ht="12.75" customHeight="1" x14ac:dyDescent="0.2">
      <c r="A129" s="26"/>
      <c r="B129" s="26"/>
      <c r="C129" s="65">
        <v>0.375</v>
      </c>
      <c r="D129" s="35">
        <v>10</v>
      </c>
      <c r="E129" s="85" t="s">
        <v>168</v>
      </c>
      <c r="F129" s="34">
        <f>_xlfn.XLOOKUP(E129,Index!$A:$A,Index!$B:$B)</f>
        <v>2.75</v>
      </c>
      <c r="G129" s="1"/>
      <c r="I129" s="1"/>
      <c r="J129" s="1"/>
      <c r="K129" s="1"/>
    </row>
    <row r="130" spans="1:15" ht="12.75" customHeight="1" x14ac:dyDescent="0.2">
      <c r="A130" s="26"/>
      <c r="B130" s="26"/>
      <c r="C130" s="65">
        <v>0.5</v>
      </c>
      <c r="D130" s="35">
        <v>15</v>
      </c>
      <c r="E130" s="14" t="s">
        <v>168</v>
      </c>
      <c r="F130" s="46">
        <f>_xlfn.XLOOKUP(E130,Index!$A:$A,Index!$B:$B)</f>
        <v>2.75</v>
      </c>
      <c r="G130" s="1"/>
      <c r="I130" s="1"/>
      <c r="J130" s="1"/>
      <c r="K130" s="1"/>
    </row>
    <row r="131" spans="1:15" ht="12.75" customHeight="1" x14ac:dyDescent="0.2">
      <c r="A131" s="26"/>
      <c r="B131" s="26"/>
      <c r="C131" s="65">
        <v>0.75</v>
      </c>
      <c r="D131" s="35">
        <v>20</v>
      </c>
      <c r="E131" s="85" t="s">
        <v>169</v>
      </c>
      <c r="F131" s="34">
        <f>_xlfn.XLOOKUP(E131,Index!$A:$A,Index!$B:$B)</f>
        <v>6</v>
      </c>
      <c r="G131" s="1"/>
      <c r="I131" s="1"/>
      <c r="J131" s="1"/>
      <c r="K131" s="1"/>
    </row>
    <row r="132" spans="1:15" ht="12.75" customHeight="1" x14ac:dyDescent="0.2">
      <c r="A132" s="26"/>
      <c r="B132" s="26"/>
      <c r="C132" s="65">
        <v>1</v>
      </c>
      <c r="D132" s="35">
        <v>25</v>
      </c>
      <c r="E132" s="85" t="s">
        <v>169</v>
      </c>
      <c r="F132" s="34">
        <f>_xlfn.XLOOKUP(E132,Index!$A:$A,Index!$B:$B)</f>
        <v>6</v>
      </c>
      <c r="G132" s="1"/>
      <c r="I132" s="1"/>
      <c r="J132" s="1"/>
      <c r="K132" s="1"/>
    </row>
    <row r="133" spans="1:15" ht="12.75" customHeight="1" x14ac:dyDescent="0.2">
      <c r="A133" s="26"/>
      <c r="B133" s="26"/>
      <c r="C133" s="65">
        <v>1.25</v>
      </c>
      <c r="D133" s="35">
        <v>32</v>
      </c>
      <c r="E133" s="85" t="s">
        <v>170</v>
      </c>
      <c r="F133" s="34">
        <f>_xlfn.XLOOKUP(E133,Index!$A:$A,Index!$B:$B)</f>
        <v>7.75</v>
      </c>
      <c r="G133" s="1"/>
      <c r="I133" s="1"/>
      <c r="J133" s="1"/>
      <c r="K133" s="1"/>
    </row>
    <row r="134" spans="1:15" ht="12.75" customHeight="1" x14ac:dyDescent="0.2">
      <c r="A134" s="26"/>
      <c r="B134" s="26"/>
      <c r="C134" s="65">
        <v>1.5</v>
      </c>
      <c r="D134" s="35">
        <v>40</v>
      </c>
      <c r="E134" s="85" t="s">
        <v>170</v>
      </c>
      <c r="F134" s="34">
        <f>_xlfn.XLOOKUP(E134,Index!$A:$A,Index!$B:$B)</f>
        <v>7.75</v>
      </c>
      <c r="G134" s="1"/>
      <c r="I134" s="1"/>
      <c r="J134" s="1"/>
      <c r="K134" s="1"/>
    </row>
    <row r="135" spans="1:15" ht="12.75" customHeight="1" x14ac:dyDescent="0.2">
      <c r="A135" s="26"/>
      <c r="B135" s="26"/>
      <c r="C135" s="65">
        <v>2</v>
      </c>
      <c r="D135" s="35">
        <v>50</v>
      </c>
      <c r="E135" s="85" t="s">
        <v>171</v>
      </c>
      <c r="F135" s="34">
        <f>_xlfn.XLOOKUP(E135,Index!$A:$A,Index!$B:$B)</f>
        <v>9</v>
      </c>
      <c r="G135" s="1"/>
      <c r="I135" s="1"/>
      <c r="J135" s="1"/>
      <c r="K135" s="1"/>
    </row>
    <row r="136" spans="1:15" ht="12.75" customHeight="1" x14ac:dyDescent="0.2">
      <c r="A136" s="26"/>
      <c r="B136" s="26"/>
      <c r="C136" s="65">
        <v>2.5</v>
      </c>
      <c r="D136" s="35">
        <v>65</v>
      </c>
      <c r="E136" s="85" t="s">
        <v>172</v>
      </c>
      <c r="F136" s="34">
        <f>_xlfn.XLOOKUP(E136,Index!$A:$A,Index!$B:$B)</f>
        <v>12.5</v>
      </c>
      <c r="G136" s="1"/>
      <c r="I136" s="1"/>
      <c r="J136" s="1"/>
      <c r="K136" s="1"/>
    </row>
    <row r="137" spans="1:15" ht="12.75" customHeight="1" x14ac:dyDescent="0.2">
      <c r="A137" s="26"/>
      <c r="B137" s="26"/>
      <c r="C137" s="65">
        <v>3</v>
      </c>
      <c r="D137" s="35">
        <v>80</v>
      </c>
      <c r="E137" s="85" t="s">
        <v>172</v>
      </c>
      <c r="F137" s="34">
        <f>_xlfn.XLOOKUP(E137,Index!$A:$A,Index!$B:$B)</f>
        <v>12.5</v>
      </c>
      <c r="G137" s="1"/>
      <c r="I137" s="1"/>
      <c r="J137" s="1"/>
      <c r="K137" s="1"/>
    </row>
    <row r="138" spans="1:15" ht="12.75" customHeight="1" x14ac:dyDescent="0.2">
      <c r="A138" s="27"/>
      <c r="B138" s="27"/>
      <c r="C138" s="65">
        <v>4</v>
      </c>
      <c r="D138" s="35">
        <v>100</v>
      </c>
      <c r="E138" s="85" t="s">
        <v>172</v>
      </c>
      <c r="F138" s="34">
        <f>_xlfn.XLOOKUP(E138,Index!$A:$A,Index!$B:$B)</f>
        <v>12.5</v>
      </c>
      <c r="G138" s="1"/>
      <c r="I138" s="1"/>
      <c r="J138" s="1"/>
      <c r="K138" s="1"/>
    </row>
    <row r="139" spans="1:15" ht="20.85" customHeight="1" x14ac:dyDescent="0.2">
      <c r="A139" s="7"/>
      <c r="B139" s="7"/>
      <c r="C139" s="3"/>
      <c r="D139" s="3"/>
      <c r="E139" s="8"/>
      <c r="F139" s="9"/>
      <c r="G139" s="10"/>
      <c r="L139" s="20"/>
      <c r="M139" s="20"/>
      <c r="N139" s="20"/>
      <c r="O139" s="20"/>
    </row>
    <row r="140" spans="1:15" ht="19.149999999999999" customHeight="1" x14ac:dyDescent="0.2">
      <c r="A140" s="62" t="s">
        <v>173</v>
      </c>
      <c r="B140" s="62" t="s">
        <v>174</v>
      </c>
      <c r="D140" s="3"/>
      <c r="E140" s="8"/>
      <c r="F140" s="9"/>
      <c r="G140" s="10"/>
      <c r="L140" s="20"/>
      <c r="M140" s="20"/>
      <c r="N140" s="20"/>
      <c r="O140" s="20"/>
    </row>
    <row r="141" spans="1:15" ht="15.75" x14ac:dyDescent="0.2">
      <c r="A141" s="48" t="s">
        <v>34</v>
      </c>
      <c r="B141" s="11"/>
      <c r="C141" s="4"/>
      <c r="D141" s="4"/>
      <c r="E141" s="5"/>
      <c r="F141" s="9"/>
      <c r="G141" s="4"/>
      <c r="L141" s="20"/>
      <c r="M141" s="20"/>
      <c r="N141" s="20"/>
      <c r="O141" s="20"/>
    </row>
    <row r="142" spans="1:15" ht="12.75" customHeight="1" x14ac:dyDescent="0.2">
      <c r="A142" s="25" t="s">
        <v>35</v>
      </c>
      <c r="B142" s="28" t="s">
        <v>36</v>
      </c>
      <c r="C142" s="29" t="s">
        <v>37</v>
      </c>
      <c r="D142" s="22"/>
      <c r="E142" s="22" t="s">
        <v>38</v>
      </c>
      <c r="F142" s="22"/>
      <c r="G142" s="23" t="s">
        <v>39</v>
      </c>
      <c r="H142" s="23"/>
      <c r="I142" s="42" t="s">
        <v>40</v>
      </c>
      <c r="J142" s="24" t="s">
        <v>41</v>
      </c>
      <c r="L142" s="20"/>
      <c r="M142" s="20"/>
      <c r="N142" s="20"/>
      <c r="O142" s="20"/>
    </row>
    <row r="143" spans="1:15" ht="12.75" customHeight="1" x14ac:dyDescent="0.2">
      <c r="A143" s="32"/>
      <c r="B143" s="32"/>
      <c r="C143" s="33" t="s">
        <v>42</v>
      </c>
      <c r="D143" s="33" t="s">
        <v>43</v>
      </c>
      <c r="E143" s="33" t="s">
        <v>44</v>
      </c>
      <c r="F143" s="33" t="s">
        <v>45</v>
      </c>
      <c r="G143" s="33" t="s">
        <v>46</v>
      </c>
      <c r="H143" s="39" t="s">
        <v>47</v>
      </c>
      <c r="I143" s="33"/>
      <c r="J143" s="41"/>
      <c r="L143" s="20"/>
      <c r="M143" s="20"/>
      <c r="N143" s="20"/>
      <c r="O143" s="20"/>
    </row>
    <row r="144" spans="1:15" ht="12.75" customHeight="1" x14ac:dyDescent="0.2">
      <c r="A144" s="26" t="s">
        <v>175</v>
      </c>
      <c r="B144" s="26" t="s">
        <v>49</v>
      </c>
      <c r="C144" s="30" t="s">
        <v>50</v>
      </c>
      <c r="D144" s="35" t="s">
        <v>176</v>
      </c>
      <c r="E144" s="64">
        <v>0.25</v>
      </c>
      <c r="F144" s="37">
        <v>6</v>
      </c>
      <c r="G144" s="35">
        <v>2</v>
      </c>
      <c r="H144" s="40">
        <v>0.9</v>
      </c>
      <c r="I144" s="38" t="s">
        <v>177</v>
      </c>
      <c r="J144" s="34">
        <f>IFERROR(_xlfn.XLOOKUP(I144,Index!$A:$A,Index!$B:$B),"")</f>
        <v>477</v>
      </c>
      <c r="L144" s="20"/>
      <c r="M144" s="20"/>
      <c r="N144" s="20"/>
      <c r="O144" s="20"/>
    </row>
    <row r="145" spans="1:17" ht="12" x14ac:dyDescent="0.2">
      <c r="A145" s="26"/>
      <c r="B145" s="26"/>
      <c r="C145" s="30"/>
      <c r="D145" s="35" t="s">
        <v>53</v>
      </c>
      <c r="E145" s="64">
        <v>0.25</v>
      </c>
      <c r="F145" s="37">
        <v>6</v>
      </c>
      <c r="G145" s="35">
        <v>2</v>
      </c>
      <c r="H145" s="40">
        <v>0.9</v>
      </c>
      <c r="I145" s="38" t="s">
        <v>5765</v>
      </c>
      <c r="J145" s="34">
        <f>IFERROR(_xlfn.XLOOKUP(I145,Index!$A:$A,Index!$B:$B),"")</f>
        <v>501</v>
      </c>
      <c r="L145" s="20"/>
      <c r="M145" s="20"/>
      <c r="N145" s="20"/>
      <c r="O145" s="20"/>
    </row>
    <row r="146" spans="1:17" ht="12" x14ac:dyDescent="0.2">
      <c r="A146" s="26"/>
      <c r="B146" s="26"/>
      <c r="C146" s="30"/>
      <c r="D146" s="35" t="s">
        <v>55</v>
      </c>
      <c r="E146" s="64">
        <v>0.25</v>
      </c>
      <c r="F146" s="37">
        <v>6</v>
      </c>
      <c r="G146" s="35">
        <v>2</v>
      </c>
      <c r="H146" s="40">
        <v>0.9</v>
      </c>
      <c r="I146" s="38" t="s">
        <v>5766</v>
      </c>
      <c r="J146" s="34">
        <f>IFERROR(_xlfn.XLOOKUP(I146,Index!$A:$A,Index!$B:$B),"")</f>
        <v>501</v>
      </c>
      <c r="L146" s="20"/>
      <c r="M146" s="20"/>
      <c r="N146" s="20"/>
      <c r="O146" s="20"/>
    </row>
    <row r="147" spans="1:17" ht="12.75" customHeight="1" x14ac:dyDescent="0.2">
      <c r="A147" s="26"/>
      <c r="B147" s="26"/>
      <c r="C147" s="30"/>
      <c r="D147" s="35" t="s">
        <v>176</v>
      </c>
      <c r="E147" s="64">
        <v>0.375</v>
      </c>
      <c r="F147" s="37">
        <v>10</v>
      </c>
      <c r="G147" s="35">
        <v>2</v>
      </c>
      <c r="H147" s="40">
        <v>0.9</v>
      </c>
      <c r="I147" s="38" t="s">
        <v>179</v>
      </c>
      <c r="J147" s="34">
        <f>IFERROR(_xlfn.XLOOKUP(I147,Index!$A:$A,Index!$B:$B),"")</f>
        <v>477</v>
      </c>
      <c r="L147" s="20"/>
      <c r="M147" s="20"/>
      <c r="N147" s="20"/>
      <c r="O147" s="20"/>
    </row>
    <row r="148" spans="1:17" ht="12.75" customHeight="1" x14ac:dyDescent="0.2">
      <c r="A148" s="26"/>
      <c r="B148" s="26"/>
      <c r="C148" s="30"/>
      <c r="D148" s="35" t="s">
        <v>53</v>
      </c>
      <c r="E148" s="64">
        <v>0.375</v>
      </c>
      <c r="F148" s="37">
        <v>10</v>
      </c>
      <c r="G148" s="35">
        <v>2</v>
      </c>
      <c r="H148" s="40">
        <v>0.9</v>
      </c>
      <c r="I148" s="38" t="s">
        <v>5581</v>
      </c>
      <c r="J148" s="34">
        <f>IFERROR(_xlfn.XLOOKUP(I148,Index!$A:$A,Index!$B:$B),"")</f>
        <v>500.5</v>
      </c>
      <c r="L148" s="20"/>
      <c r="M148" s="20"/>
      <c r="N148" s="20"/>
      <c r="O148" s="20"/>
    </row>
    <row r="149" spans="1:17" ht="12.75" customHeight="1" x14ac:dyDescent="0.2">
      <c r="A149" s="26"/>
      <c r="B149" s="26"/>
      <c r="C149" s="30"/>
      <c r="D149" s="35" t="s">
        <v>55</v>
      </c>
      <c r="E149" s="64">
        <v>0.375</v>
      </c>
      <c r="F149" s="37">
        <v>10</v>
      </c>
      <c r="G149" s="35">
        <v>2</v>
      </c>
      <c r="H149" s="40">
        <v>0.9</v>
      </c>
      <c r="I149" s="38" t="s">
        <v>5542</v>
      </c>
      <c r="J149" s="34">
        <f>J148</f>
        <v>500.5</v>
      </c>
      <c r="L149" s="20"/>
      <c r="M149" s="20"/>
      <c r="N149" s="20"/>
      <c r="O149" s="20"/>
    </row>
    <row r="150" spans="1:17" ht="12.75" customHeight="1" x14ac:dyDescent="0.2">
      <c r="A150" s="26"/>
      <c r="B150" s="26"/>
      <c r="C150" s="30"/>
      <c r="D150" s="35" t="s">
        <v>176</v>
      </c>
      <c r="E150" s="64">
        <v>0.5</v>
      </c>
      <c r="F150" s="37">
        <v>15</v>
      </c>
      <c r="G150" s="35">
        <v>2</v>
      </c>
      <c r="H150" s="40">
        <v>0.9</v>
      </c>
      <c r="I150" s="38" t="s">
        <v>181</v>
      </c>
      <c r="J150" s="34">
        <f>IFERROR(_xlfn.XLOOKUP(I150,Index!$A:$A,Index!$B:$B),"")</f>
        <v>477</v>
      </c>
      <c r="L150" s="20"/>
      <c r="M150" s="20"/>
      <c r="N150" s="20"/>
      <c r="O150" s="20"/>
    </row>
    <row r="151" spans="1:17" ht="12.75" customHeight="1" x14ac:dyDescent="0.2">
      <c r="A151" s="26"/>
      <c r="B151" s="26"/>
      <c r="C151" s="30"/>
      <c r="D151" s="35" t="s">
        <v>53</v>
      </c>
      <c r="E151" s="64">
        <v>0.5</v>
      </c>
      <c r="F151" s="37">
        <v>15</v>
      </c>
      <c r="G151" s="35">
        <v>2</v>
      </c>
      <c r="H151" s="40">
        <v>0.9</v>
      </c>
      <c r="I151" s="38" t="s">
        <v>182</v>
      </c>
      <c r="J151" s="34">
        <f>IFERROR(_xlfn.XLOOKUP(I151,Index!$A:$A,Index!$B:$B),"")</f>
        <v>500.5</v>
      </c>
      <c r="L151" s="20"/>
      <c r="M151" s="20"/>
      <c r="N151" s="20"/>
      <c r="O151" s="20"/>
      <c r="Q151" s="141"/>
    </row>
    <row r="152" spans="1:17" ht="12.75" customHeight="1" x14ac:dyDescent="0.2">
      <c r="A152" s="26"/>
      <c r="B152" s="26"/>
      <c r="C152" s="30"/>
      <c r="D152" s="35" t="s">
        <v>55</v>
      </c>
      <c r="E152" s="64">
        <v>0.5</v>
      </c>
      <c r="F152" s="37">
        <v>15</v>
      </c>
      <c r="G152" s="35">
        <v>2</v>
      </c>
      <c r="H152" s="40">
        <v>0.9</v>
      </c>
      <c r="I152" s="38" t="s">
        <v>183</v>
      </c>
      <c r="J152" s="34">
        <f>IFERROR(_xlfn.XLOOKUP(I152,Index!$A:$A,Index!$B:$B),"")</f>
        <v>500.5</v>
      </c>
      <c r="L152" s="20"/>
      <c r="M152" s="20"/>
      <c r="N152" s="20"/>
      <c r="O152" s="20"/>
      <c r="Q152" s="141"/>
    </row>
    <row r="153" spans="1:17" ht="12.75" customHeight="1" x14ac:dyDescent="0.2">
      <c r="A153" s="26"/>
      <c r="B153" s="26"/>
      <c r="C153" s="30"/>
      <c r="D153" s="35" t="s">
        <v>176</v>
      </c>
      <c r="E153" s="64">
        <v>0.75</v>
      </c>
      <c r="F153" s="37">
        <v>20</v>
      </c>
      <c r="G153" s="35">
        <v>2.5</v>
      </c>
      <c r="H153" s="40">
        <v>1.1000000000000001</v>
      </c>
      <c r="I153" s="38" t="s">
        <v>184</v>
      </c>
      <c r="J153" s="34">
        <f>IFERROR(_xlfn.XLOOKUP(I153,Index!$A:$A,Index!$B:$B),"")</f>
        <v>372</v>
      </c>
      <c r="L153" s="20"/>
      <c r="M153" s="20"/>
      <c r="N153" s="20"/>
      <c r="O153" s="20"/>
    </row>
    <row r="154" spans="1:17" ht="12.75" customHeight="1" x14ac:dyDescent="0.2">
      <c r="A154" s="26"/>
      <c r="B154" s="26"/>
      <c r="C154" s="30"/>
      <c r="D154" s="35" t="s">
        <v>53</v>
      </c>
      <c r="E154" s="64">
        <v>0.75</v>
      </c>
      <c r="F154" s="37">
        <v>20</v>
      </c>
      <c r="G154" s="35">
        <v>2.5</v>
      </c>
      <c r="H154" s="40">
        <v>1.1000000000000001</v>
      </c>
      <c r="I154" s="38" t="s">
        <v>185</v>
      </c>
      <c r="J154" s="34">
        <f>IFERROR(_xlfn.XLOOKUP(I154,Index!$A:$A,Index!$B:$B),"")</f>
        <v>390.5</v>
      </c>
      <c r="L154" s="20"/>
      <c r="M154" s="20"/>
      <c r="N154" s="20"/>
      <c r="O154" s="20"/>
    </row>
    <row r="155" spans="1:17" ht="12.75" customHeight="1" x14ac:dyDescent="0.2">
      <c r="A155" s="26"/>
      <c r="B155" s="26"/>
      <c r="C155" s="30"/>
      <c r="D155" s="35" t="s">
        <v>55</v>
      </c>
      <c r="E155" s="64">
        <v>0.75</v>
      </c>
      <c r="F155" s="37">
        <v>20</v>
      </c>
      <c r="G155" s="35">
        <v>2.5</v>
      </c>
      <c r="H155" s="40">
        <v>1.1000000000000001</v>
      </c>
      <c r="I155" s="38" t="s">
        <v>186</v>
      </c>
      <c r="J155" s="34">
        <f>IFERROR(_xlfn.XLOOKUP(I155,Index!$A:$A,Index!$B:$B),"")</f>
        <v>390.5</v>
      </c>
      <c r="L155" s="20"/>
      <c r="M155" s="20"/>
      <c r="N155" s="20"/>
      <c r="O155" s="20"/>
    </row>
    <row r="156" spans="1:17" ht="12.75" customHeight="1" x14ac:dyDescent="0.2">
      <c r="A156" s="26"/>
      <c r="B156" s="26"/>
      <c r="C156" s="30"/>
      <c r="D156" s="35" t="s">
        <v>176</v>
      </c>
      <c r="E156" s="36">
        <v>1</v>
      </c>
      <c r="F156" s="37">
        <v>25</v>
      </c>
      <c r="G156" s="35">
        <v>4</v>
      </c>
      <c r="H156" s="40">
        <v>1.8</v>
      </c>
      <c r="I156" s="38" t="s">
        <v>187</v>
      </c>
      <c r="J156" s="34">
        <f>IFERROR(_xlfn.XLOOKUP(I156,Index!$A:$A,Index!$B:$B),"")</f>
        <v>532</v>
      </c>
      <c r="L156" s="20"/>
      <c r="M156" s="20"/>
      <c r="N156" s="20"/>
      <c r="O156" s="20"/>
    </row>
    <row r="157" spans="1:17" ht="12.75" customHeight="1" x14ac:dyDescent="0.2">
      <c r="A157" s="26"/>
      <c r="B157" s="26"/>
      <c r="C157" s="30"/>
      <c r="D157" s="35" t="s">
        <v>53</v>
      </c>
      <c r="E157" s="36">
        <v>1</v>
      </c>
      <c r="F157" s="37">
        <v>25</v>
      </c>
      <c r="G157" s="35">
        <v>4</v>
      </c>
      <c r="H157" s="40">
        <v>1.8</v>
      </c>
      <c r="I157" s="38" t="s">
        <v>5542</v>
      </c>
      <c r="J157" s="34">
        <f>J158</f>
        <v>558.5</v>
      </c>
      <c r="L157" s="20"/>
      <c r="M157" s="20"/>
      <c r="N157" s="20"/>
      <c r="O157" s="20"/>
    </row>
    <row r="158" spans="1:17" ht="12.75" customHeight="1" x14ac:dyDescent="0.2">
      <c r="A158" s="26"/>
      <c r="B158" s="26"/>
      <c r="C158" s="30"/>
      <c r="D158" s="35" t="s">
        <v>55</v>
      </c>
      <c r="E158" s="36">
        <v>1</v>
      </c>
      <c r="F158" s="37">
        <v>25</v>
      </c>
      <c r="G158" s="35">
        <v>4</v>
      </c>
      <c r="H158" s="40">
        <v>1.8</v>
      </c>
      <c r="I158" s="38" t="s">
        <v>189</v>
      </c>
      <c r="J158" s="34">
        <f>IFERROR(_xlfn.XLOOKUP(I158,Index!$A:$A,Index!$B:$B),"")</f>
        <v>558.5</v>
      </c>
      <c r="L158" s="20"/>
      <c r="M158" s="20"/>
      <c r="N158" s="20"/>
      <c r="O158" s="20"/>
    </row>
    <row r="159" spans="1:17" ht="12.75" customHeight="1" x14ac:dyDescent="0.2">
      <c r="A159" s="26"/>
      <c r="B159" s="26"/>
      <c r="C159" s="30"/>
      <c r="D159" s="35" t="s">
        <v>176</v>
      </c>
      <c r="E159" s="64">
        <v>1.25</v>
      </c>
      <c r="F159" s="37">
        <v>32</v>
      </c>
      <c r="G159" s="35">
        <v>5</v>
      </c>
      <c r="H159" s="40">
        <v>2.2000000000000002</v>
      </c>
      <c r="I159" s="38" t="s">
        <v>190</v>
      </c>
      <c r="J159" s="34">
        <f>IFERROR(_xlfn.XLOOKUP(I159,Index!$A:$A,Index!$B:$B),"")</f>
        <v>629.5</v>
      </c>
      <c r="L159" s="20"/>
      <c r="M159" s="20"/>
      <c r="N159" s="20"/>
      <c r="O159" s="20"/>
    </row>
    <row r="160" spans="1:17" ht="12.75" customHeight="1" x14ac:dyDescent="0.2">
      <c r="A160" s="26"/>
      <c r="B160" s="26"/>
      <c r="C160" s="30"/>
      <c r="D160" s="35" t="s">
        <v>53</v>
      </c>
      <c r="E160" s="64">
        <v>1.25</v>
      </c>
      <c r="F160" s="37">
        <v>32</v>
      </c>
      <c r="G160" s="35">
        <v>5</v>
      </c>
      <c r="H160" s="40">
        <v>2.2000000000000002</v>
      </c>
      <c r="I160" s="38" t="s">
        <v>191</v>
      </c>
      <c r="J160" s="34">
        <f>IFERROR(_xlfn.XLOOKUP(I160,Index!$A:$A,Index!$B:$B),"")</f>
        <v>660.5</v>
      </c>
      <c r="L160" s="20"/>
      <c r="M160" s="20"/>
      <c r="N160" s="20"/>
      <c r="O160" s="20"/>
    </row>
    <row r="161" spans="1:15" ht="12.75" customHeight="1" x14ac:dyDescent="0.2">
      <c r="A161" s="26"/>
      <c r="B161" s="26"/>
      <c r="C161" s="30"/>
      <c r="D161" s="35" t="s">
        <v>55</v>
      </c>
      <c r="E161" s="64">
        <v>1.25</v>
      </c>
      <c r="F161" s="37">
        <v>32</v>
      </c>
      <c r="G161" s="35">
        <v>5</v>
      </c>
      <c r="H161" s="40">
        <v>2.2000000000000002</v>
      </c>
      <c r="I161" s="38" t="s">
        <v>192</v>
      </c>
      <c r="J161" s="34">
        <f>IFERROR(_xlfn.XLOOKUP(I161,Index!$A:$A,Index!$B:$B),"")</f>
        <v>660.5</v>
      </c>
      <c r="L161" s="20"/>
      <c r="M161" s="20"/>
      <c r="N161" s="20"/>
      <c r="O161" s="20"/>
    </row>
    <row r="162" spans="1:15" ht="12.75" customHeight="1" x14ac:dyDescent="0.2">
      <c r="A162" s="26"/>
      <c r="B162" s="26"/>
      <c r="C162" s="30"/>
      <c r="D162" s="35" t="s">
        <v>176</v>
      </c>
      <c r="E162" s="64">
        <v>1.5</v>
      </c>
      <c r="F162" s="37">
        <v>40</v>
      </c>
      <c r="G162" s="35">
        <v>7.5</v>
      </c>
      <c r="H162" s="40">
        <v>3.4</v>
      </c>
      <c r="I162" s="38" t="s">
        <v>193</v>
      </c>
      <c r="J162" s="34">
        <f>IFERROR(_xlfn.XLOOKUP(I162,Index!$A:$A,Index!$B:$B),"")</f>
        <v>653.5</v>
      </c>
      <c r="L162" s="20"/>
      <c r="M162" s="20"/>
      <c r="N162" s="20"/>
      <c r="O162" s="20"/>
    </row>
    <row r="163" spans="1:15" ht="12.75" customHeight="1" x14ac:dyDescent="0.2">
      <c r="A163" s="26"/>
      <c r="B163" s="26"/>
      <c r="C163" s="30"/>
      <c r="D163" s="35" t="s">
        <v>53</v>
      </c>
      <c r="E163" s="64">
        <v>1.5</v>
      </c>
      <c r="F163" s="37">
        <v>40</v>
      </c>
      <c r="G163" s="35">
        <v>7.5</v>
      </c>
      <c r="H163" s="40">
        <v>3.4</v>
      </c>
      <c r="I163" s="38" t="s">
        <v>194</v>
      </c>
      <c r="J163" s="34">
        <f>IFERROR(_xlfn.XLOOKUP(I163,Index!$A:$A,Index!$B:$B),"")</f>
        <v>685.5</v>
      </c>
      <c r="L163" s="20"/>
      <c r="M163" s="20"/>
      <c r="N163" s="20"/>
      <c r="O163" s="20"/>
    </row>
    <row r="164" spans="1:15" ht="12.75" customHeight="1" x14ac:dyDescent="0.2">
      <c r="A164" s="26"/>
      <c r="B164" s="26"/>
      <c r="C164" s="30"/>
      <c r="D164" s="35" t="s">
        <v>55</v>
      </c>
      <c r="E164" s="64">
        <v>1.5</v>
      </c>
      <c r="F164" s="37">
        <v>40</v>
      </c>
      <c r="G164" s="35">
        <v>7.5</v>
      </c>
      <c r="H164" s="40">
        <v>3.4</v>
      </c>
      <c r="I164" s="38" t="s">
        <v>5542</v>
      </c>
      <c r="J164" s="34">
        <f>J163</f>
        <v>685.5</v>
      </c>
      <c r="L164" s="20"/>
      <c r="M164" s="20"/>
      <c r="N164" s="20"/>
      <c r="O164" s="20"/>
    </row>
    <row r="165" spans="1:15" ht="12.75" customHeight="1" x14ac:dyDescent="0.2">
      <c r="A165" s="26"/>
      <c r="B165" s="26"/>
      <c r="C165" s="30"/>
      <c r="D165" s="35" t="s">
        <v>176</v>
      </c>
      <c r="E165" s="36">
        <v>2</v>
      </c>
      <c r="F165" s="37">
        <v>50</v>
      </c>
      <c r="G165" s="35">
        <v>12</v>
      </c>
      <c r="H165" s="40">
        <v>5.4</v>
      </c>
      <c r="I165" s="38" t="s">
        <v>195</v>
      </c>
      <c r="J165" s="34">
        <f>IFERROR(_xlfn.XLOOKUP(I165,Index!$A:$A,Index!$B:$B),"")</f>
        <v>1048</v>
      </c>
      <c r="L165" s="20"/>
      <c r="M165" s="20"/>
      <c r="N165" s="20"/>
      <c r="O165" s="20"/>
    </row>
    <row r="166" spans="1:15" ht="12.75" customHeight="1" x14ac:dyDescent="0.2">
      <c r="A166" s="26"/>
      <c r="B166" s="26"/>
      <c r="C166" s="30"/>
      <c r="D166" s="35" t="s">
        <v>53</v>
      </c>
      <c r="E166" s="36">
        <v>2</v>
      </c>
      <c r="F166" s="37">
        <v>50</v>
      </c>
      <c r="G166" s="35">
        <v>12</v>
      </c>
      <c r="H166" s="40">
        <v>5.4</v>
      </c>
      <c r="I166" s="38" t="s">
        <v>196</v>
      </c>
      <c r="J166" s="34">
        <f>IFERROR(_xlfn.XLOOKUP(I166,Index!$A:$A,Index!$B:$B),"")</f>
        <v>1100</v>
      </c>
      <c r="L166" s="20"/>
      <c r="M166" s="20"/>
      <c r="N166" s="20"/>
      <c r="O166" s="20"/>
    </row>
    <row r="167" spans="1:15" ht="12.75" customHeight="1" x14ac:dyDescent="0.2">
      <c r="A167" s="26"/>
      <c r="B167" s="26"/>
      <c r="C167" s="30"/>
      <c r="D167" s="35" t="s">
        <v>55</v>
      </c>
      <c r="E167" s="36">
        <v>2</v>
      </c>
      <c r="F167" s="37">
        <v>50</v>
      </c>
      <c r="G167" s="35">
        <v>12</v>
      </c>
      <c r="H167" s="40">
        <v>5.4</v>
      </c>
      <c r="I167" s="38" t="s">
        <v>197</v>
      </c>
      <c r="J167" s="34">
        <f>IFERROR(_xlfn.XLOOKUP(I167,Index!$A:$A,Index!$B:$B),"")</f>
        <v>1100</v>
      </c>
      <c r="L167" s="20"/>
      <c r="M167" s="20"/>
      <c r="N167" s="20"/>
      <c r="O167" s="20"/>
    </row>
    <row r="168" spans="1:15" ht="12.75" customHeight="1" x14ac:dyDescent="0.2">
      <c r="A168" s="26"/>
      <c r="B168" s="26"/>
      <c r="C168" s="30"/>
      <c r="D168" s="35" t="s">
        <v>176</v>
      </c>
      <c r="E168" s="64">
        <v>2.5</v>
      </c>
      <c r="F168" s="37">
        <v>65</v>
      </c>
      <c r="G168" s="35">
        <v>22</v>
      </c>
      <c r="H168" s="40">
        <v>10</v>
      </c>
      <c r="I168" s="38" t="s">
        <v>198</v>
      </c>
      <c r="J168" s="34">
        <f>IFERROR(_xlfn.XLOOKUP(I168,Index!$A:$A,Index!$B:$B),"")</f>
        <v>2987</v>
      </c>
      <c r="L168" s="20"/>
      <c r="M168" s="20"/>
      <c r="N168" s="20"/>
      <c r="O168" s="20"/>
    </row>
    <row r="169" spans="1:15" ht="12.75" customHeight="1" x14ac:dyDescent="0.2">
      <c r="A169" s="26"/>
      <c r="B169" s="26"/>
      <c r="C169" s="30"/>
      <c r="D169" s="35" t="s">
        <v>53</v>
      </c>
      <c r="E169" s="64">
        <v>2.5</v>
      </c>
      <c r="F169" s="37">
        <v>65</v>
      </c>
      <c r="G169" s="35">
        <v>22</v>
      </c>
      <c r="H169" s="40">
        <v>10</v>
      </c>
      <c r="I169" s="38" t="s">
        <v>5542</v>
      </c>
      <c r="J169" s="34">
        <f>J168*1.05</f>
        <v>3136.35</v>
      </c>
      <c r="L169" s="20"/>
      <c r="M169" s="20"/>
      <c r="N169" s="20"/>
      <c r="O169" s="20"/>
    </row>
    <row r="170" spans="1:15" ht="12.75" customHeight="1" x14ac:dyDescent="0.2">
      <c r="A170" s="26"/>
      <c r="B170" s="26"/>
      <c r="C170" s="30"/>
      <c r="D170" s="35" t="s">
        <v>55</v>
      </c>
      <c r="E170" s="64">
        <v>2.5</v>
      </c>
      <c r="F170" s="37">
        <v>65</v>
      </c>
      <c r="G170" s="35">
        <v>22</v>
      </c>
      <c r="H170" s="40">
        <v>10</v>
      </c>
      <c r="I170" s="38" t="s">
        <v>202</v>
      </c>
      <c r="J170" s="34">
        <f>IFERROR(_xlfn.XLOOKUP(I170,Index!$A:$A,Index!$B:$B),"")</f>
        <v>3198</v>
      </c>
      <c r="L170" s="20"/>
      <c r="M170" s="20"/>
      <c r="N170" s="20"/>
      <c r="O170" s="20"/>
    </row>
    <row r="171" spans="1:15" ht="12.75" customHeight="1" x14ac:dyDescent="0.2">
      <c r="A171" s="26"/>
      <c r="B171" s="26"/>
      <c r="C171" s="30"/>
      <c r="D171" s="35" t="s">
        <v>176</v>
      </c>
      <c r="E171" s="36">
        <v>3</v>
      </c>
      <c r="F171" s="37">
        <v>80</v>
      </c>
      <c r="G171" s="35">
        <v>33</v>
      </c>
      <c r="H171" s="40">
        <v>15</v>
      </c>
      <c r="I171" s="38" t="s">
        <v>200</v>
      </c>
      <c r="J171" s="34">
        <f>IFERROR(_xlfn.XLOOKUP(I171,Index!$A:$A,Index!$B:$B),"")</f>
        <v>3389</v>
      </c>
      <c r="L171" s="20"/>
      <c r="M171" s="20"/>
      <c r="N171" s="20"/>
      <c r="O171" s="20"/>
    </row>
    <row r="172" spans="1:15" ht="12.75" customHeight="1" x14ac:dyDescent="0.2">
      <c r="A172" s="26"/>
      <c r="B172" s="26"/>
      <c r="C172" s="30"/>
      <c r="D172" s="35" t="s">
        <v>53</v>
      </c>
      <c r="E172" s="36">
        <v>3</v>
      </c>
      <c r="F172" s="37">
        <v>80</v>
      </c>
      <c r="G172" s="35">
        <v>33</v>
      </c>
      <c r="H172" s="40">
        <v>15</v>
      </c>
      <c r="I172" s="38" t="s">
        <v>201</v>
      </c>
      <c r="J172" s="34">
        <f>IFERROR(_xlfn.XLOOKUP(I172,Index!$A:$A,Index!$B:$B),"")</f>
        <v>3557</v>
      </c>
      <c r="L172" s="20"/>
      <c r="M172" s="20"/>
      <c r="N172" s="20"/>
      <c r="O172" s="20"/>
    </row>
    <row r="173" spans="1:15" ht="12.75" customHeight="1" x14ac:dyDescent="0.2">
      <c r="A173" s="27"/>
      <c r="B173" s="27"/>
      <c r="C173" s="31"/>
      <c r="D173" s="35" t="s">
        <v>55</v>
      </c>
      <c r="E173" s="36">
        <v>3</v>
      </c>
      <c r="F173" s="37">
        <v>80</v>
      </c>
      <c r="G173" s="35">
        <v>33</v>
      </c>
      <c r="H173" s="40">
        <v>15</v>
      </c>
      <c r="I173" s="38" t="s">
        <v>202</v>
      </c>
      <c r="J173" s="34">
        <f>IFERROR(_xlfn.XLOOKUP(I173,Index!$A:$A,Index!$B:$B),"")</f>
        <v>3198</v>
      </c>
      <c r="L173" s="20"/>
      <c r="M173" s="20"/>
      <c r="N173" s="20"/>
      <c r="O173" s="20"/>
    </row>
    <row r="174" spans="1:15" ht="12.75" customHeight="1" x14ac:dyDescent="0.2">
      <c r="A174" s="12"/>
      <c r="B174" s="12"/>
      <c r="C174" s="4"/>
      <c r="D174" s="4"/>
      <c r="E174" s="5"/>
      <c r="F174" s="21"/>
      <c r="G174" s="4"/>
      <c r="L174" s="20"/>
      <c r="M174" s="20"/>
      <c r="N174" s="20"/>
      <c r="O174" s="20"/>
    </row>
    <row r="175" spans="1:15" ht="15.75" x14ac:dyDescent="0.2">
      <c r="A175" s="217" t="s">
        <v>4</v>
      </c>
      <c r="B175" s="18"/>
      <c r="C175" s="18"/>
      <c r="D175" s="49"/>
      <c r="E175" s="50"/>
      <c r="F175" s="51"/>
      <c r="G175" s="52"/>
      <c r="H175" s="53"/>
      <c r="I175" s="53"/>
      <c r="J175" s="54"/>
      <c r="L175" s="20"/>
      <c r="M175" s="20"/>
      <c r="N175" s="20"/>
      <c r="O175" s="20"/>
    </row>
    <row r="176" spans="1:15" ht="15.75" x14ac:dyDescent="0.2">
      <c r="A176" s="48" t="s">
        <v>102</v>
      </c>
      <c r="B176" s="57"/>
      <c r="C176" s="58"/>
      <c r="D176" s="58"/>
      <c r="E176" s="59"/>
      <c r="F176" s="51"/>
      <c r="G176" s="58"/>
      <c r="H176" s="53"/>
      <c r="I176" s="53"/>
      <c r="J176" s="54"/>
      <c r="L176" s="20"/>
      <c r="M176" s="20"/>
      <c r="N176" s="20"/>
      <c r="O176" s="20"/>
    </row>
    <row r="177" spans="1:20" ht="12.75" customHeight="1" x14ac:dyDescent="0.2">
      <c r="A177" s="25" t="s">
        <v>35</v>
      </c>
      <c r="B177" s="28" t="s">
        <v>103</v>
      </c>
      <c r="C177" s="335" t="s">
        <v>38</v>
      </c>
      <c r="D177" s="336"/>
      <c r="E177" s="42" t="s">
        <v>40</v>
      </c>
      <c r="F177" s="43" t="s">
        <v>41</v>
      </c>
      <c r="G177" s="20"/>
      <c r="H177" s="20"/>
      <c r="I177" s="20"/>
      <c r="P177" s="241"/>
      <c r="T177" s="1"/>
    </row>
    <row r="178" spans="1:20" ht="12.75" customHeight="1" x14ac:dyDescent="0.2">
      <c r="A178" s="32"/>
      <c r="B178" s="96"/>
      <c r="C178" s="104" t="s">
        <v>44</v>
      </c>
      <c r="D178" s="104" t="s">
        <v>45</v>
      </c>
      <c r="E178" s="104"/>
      <c r="F178" s="105"/>
      <c r="G178" s="20"/>
      <c r="H178" s="20"/>
      <c r="I178" s="20"/>
      <c r="P178" s="241"/>
      <c r="T178" s="1"/>
    </row>
    <row r="179" spans="1:20" ht="12.75" customHeight="1" x14ac:dyDescent="0.2">
      <c r="A179" s="60">
        <v>251</v>
      </c>
      <c r="B179" s="60" t="s">
        <v>104</v>
      </c>
      <c r="C179" s="65">
        <v>0.25</v>
      </c>
      <c r="D179" s="35">
        <v>6</v>
      </c>
      <c r="E179" s="35" t="s">
        <v>203</v>
      </c>
      <c r="F179" s="34">
        <f>IFERROR(_xlfn.XLOOKUP(E179,Index!$A:$A,Index!$B:$B),"")</f>
        <v>5.75</v>
      </c>
      <c r="G179" s="20"/>
      <c r="H179" s="20"/>
      <c r="I179" s="20"/>
      <c r="P179" s="241"/>
      <c r="T179" s="1"/>
    </row>
    <row r="180" spans="1:20" s="55" customFormat="1" ht="14.25" x14ac:dyDescent="0.2">
      <c r="A180" s="26"/>
      <c r="B180" s="26"/>
      <c r="C180" s="65">
        <v>0.375</v>
      </c>
      <c r="D180" s="35">
        <v>10</v>
      </c>
      <c r="E180" s="35" t="s">
        <v>203</v>
      </c>
      <c r="F180" s="34">
        <f>IFERROR(_xlfn.XLOOKUP(E180,Index!$A:$A,Index!$B:$B),"")</f>
        <v>5.75</v>
      </c>
      <c r="G180" s="20"/>
      <c r="H180" s="20"/>
      <c r="I180" s="20"/>
      <c r="J180" s="20"/>
      <c r="K180" s="20"/>
      <c r="P180" s="242"/>
    </row>
    <row r="181" spans="1:20" s="55" customFormat="1" ht="14.25" x14ac:dyDescent="0.2">
      <c r="A181" s="26"/>
      <c r="B181" s="26"/>
      <c r="C181" s="65">
        <v>0.5</v>
      </c>
      <c r="D181" s="35">
        <v>15</v>
      </c>
      <c r="E181" s="35" t="s">
        <v>203</v>
      </c>
      <c r="F181" s="34">
        <f>IFERROR(_xlfn.XLOOKUP(E181,Index!$A:$A,Index!$B:$B),"")</f>
        <v>5.75</v>
      </c>
      <c r="G181" s="20"/>
      <c r="H181" s="20"/>
      <c r="I181" s="20"/>
      <c r="J181" s="20"/>
      <c r="K181" s="20"/>
      <c r="P181" s="242"/>
    </row>
    <row r="182" spans="1:20" ht="12.75" customHeight="1" x14ac:dyDescent="0.2">
      <c r="A182" s="26"/>
      <c r="B182" s="26"/>
      <c r="C182" s="65">
        <v>0.75</v>
      </c>
      <c r="D182" s="35">
        <v>20</v>
      </c>
      <c r="E182" s="35" t="s">
        <v>204</v>
      </c>
      <c r="F182" s="34">
        <f>IFERROR(_xlfn.XLOOKUP(E182,Index!$A:$A,Index!$B:$B),"")</f>
        <v>8</v>
      </c>
      <c r="G182" s="20"/>
      <c r="H182" s="20"/>
      <c r="I182" s="20"/>
      <c r="P182" s="241"/>
      <c r="T182" s="1"/>
    </row>
    <row r="183" spans="1:20" ht="12.75" customHeight="1" x14ac:dyDescent="0.2">
      <c r="A183" s="26"/>
      <c r="B183" s="26"/>
      <c r="C183" s="65">
        <v>1</v>
      </c>
      <c r="D183" s="35">
        <v>25</v>
      </c>
      <c r="E183" s="35" t="s">
        <v>205</v>
      </c>
      <c r="F183" s="34">
        <f>IFERROR(_xlfn.XLOOKUP(E183,Index!$A:$A,Index!$B:$B),"")</f>
        <v>10.75</v>
      </c>
      <c r="G183" s="20"/>
      <c r="H183" s="20"/>
      <c r="I183" s="20"/>
      <c r="P183" s="241"/>
      <c r="T183" s="1"/>
    </row>
    <row r="184" spans="1:20" ht="12.75" customHeight="1" x14ac:dyDescent="0.2">
      <c r="A184" s="26"/>
      <c r="B184" s="26"/>
      <c r="C184" s="65">
        <v>1.25</v>
      </c>
      <c r="D184" s="35">
        <v>32</v>
      </c>
      <c r="E184" s="35" t="s">
        <v>206</v>
      </c>
      <c r="F184" s="34">
        <f>IFERROR(_xlfn.XLOOKUP(E184,Index!$A:$A,Index!$B:$B),"")</f>
        <v>8.5</v>
      </c>
      <c r="G184" s="20"/>
      <c r="H184" s="20"/>
      <c r="I184" s="20"/>
      <c r="P184" s="241"/>
      <c r="T184" s="1"/>
    </row>
    <row r="185" spans="1:20" ht="12.75" customHeight="1" x14ac:dyDescent="0.2">
      <c r="A185" s="26"/>
      <c r="B185" s="26"/>
      <c r="C185" s="65">
        <v>1.5</v>
      </c>
      <c r="D185" s="35">
        <v>40</v>
      </c>
      <c r="E185" s="35" t="s">
        <v>207</v>
      </c>
      <c r="F185" s="34">
        <f>IFERROR(_xlfn.XLOOKUP(E185,Index!$A:$A,Index!$B:$B),"")</f>
        <v>9.75</v>
      </c>
      <c r="G185" s="20"/>
      <c r="H185" s="20"/>
      <c r="I185" s="20"/>
      <c r="P185" s="241"/>
      <c r="T185" s="1"/>
    </row>
    <row r="186" spans="1:20" ht="12.75" customHeight="1" x14ac:dyDescent="0.2">
      <c r="A186" s="26"/>
      <c r="B186" s="26"/>
      <c r="C186" s="65">
        <v>2</v>
      </c>
      <c r="D186" s="35">
        <v>50</v>
      </c>
      <c r="E186" s="35" t="s">
        <v>208</v>
      </c>
      <c r="F186" s="34">
        <f>IFERROR(_xlfn.XLOOKUP(E186,Index!$A:$A,Index!$B:$B),"")</f>
        <v>9.75</v>
      </c>
      <c r="G186" s="20"/>
      <c r="H186" s="20"/>
      <c r="I186" s="20"/>
      <c r="P186" s="241"/>
      <c r="T186" s="1"/>
    </row>
    <row r="187" spans="1:20" ht="12.75" customHeight="1" x14ac:dyDescent="0.2">
      <c r="A187" s="26"/>
      <c r="B187" s="26"/>
      <c r="C187" s="65">
        <v>2.5</v>
      </c>
      <c r="D187" s="35">
        <v>65</v>
      </c>
      <c r="E187" s="35" t="s">
        <v>209</v>
      </c>
      <c r="F187" s="34">
        <f>IFERROR(_xlfn.XLOOKUP(E187,Index!$A:$A,Index!$B:$B),"")</f>
        <v>12.25</v>
      </c>
      <c r="G187" s="20"/>
      <c r="H187" s="20"/>
      <c r="I187" s="20"/>
      <c r="P187" s="241"/>
      <c r="T187" s="1"/>
    </row>
    <row r="188" spans="1:20" ht="12.75" customHeight="1" x14ac:dyDescent="0.2">
      <c r="A188" s="26"/>
      <c r="B188" s="27"/>
      <c r="C188" s="65">
        <v>3</v>
      </c>
      <c r="D188" s="35">
        <v>80</v>
      </c>
      <c r="E188" s="35" t="s">
        <v>209</v>
      </c>
      <c r="F188" s="34">
        <f>IFERROR(_xlfn.XLOOKUP(E188,Index!$A:$A,Index!$B:$B),"")</f>
        <v>12.25</v>
      </c>
      <c r="G188" s="20"/>
      <c r="H188" s="20"/>
      <c r="I188" s="20"/>
      <c r="P188" s="241"/>
      <c r="T188" s="1"/>
    </row>
    <row r="189" spans="1:20" ht="12.75" customHeight="1" x14ac:dyDescent="0.2">
      <c r="A189" s="26"/>
      <c r="B189" s="60" t="s">
        <v>210</v>
      </c>
      <c r="C189" s="65">
        <v>0.25</v>
      </c>
      <c r="D189" s="35">
        <v>6</v>
      </c>
      <c r="E189" s="35" t="s">
        <v>2807</v>
      </c>
      <c r="F189" s="34">
        <f>IFERROR(_xlfn.XLOOKUP(E189,Index!$A:$A,Index!$B:$B),"")</f>
        <v>57.5</v>
      </c>
      <c r="G189" s="20"/>
      <c r="H189" s="20"/>
      <c r="I189" s="20"/>
      <c r="P189" s="241"/>
      <c r="T189" s="1"/>
    </row>
    <row r="190" spans="1:20" ht="12.75" customHeight="1" x14ac:dyDescent="0.2">
      <c r="A190" s="26"/>
      <c r="B190" s="26"/>
      <c r="C190" s="65">
        <v>0.375</v>
      </c>
      <c r="D190" s="35">
        <v>10</v>
      </c>
      <c r="E190" s="35" t="s">
        <v>2807</v>
      </c>
      <c r="F190" s="34">
        <f>IFERROR(_xlfn.XLOOKUP(E190,Index!$A:$A,Index!$B:$B),"")</f>
        <v>57.5</v>
      </c>
      <c r="G190" s="20"/>
      <c r="H190" s="20"/>
      <c r="I190" s="20"/>
      <c r="P190" s="241"/>
      <c r="T190" s="1"/>
    </row>
    <row r="191" spans="1:20" ht="12.75" customHeight="1" x14ac:dyDescent="0.2">
      <c r="A191" s="26"/>
      <c r="B191" s="26"/>
      <c r="C191" s="65">
        <v>0.5</v>
      </c>
      <c r="D191" s="35">
        <v>15</v>
      </c>
      <c r="E191" s="35" t="s">
        <v>2807</v>
      </c>
      <c r="F191" s="34">
        <f>IFERROR(_xlfn.XLOOKUP(E191,Index!$A:$A,Index!$B:$B),"")</f>
        <v>57.5</v>
      </c>
      <c r="G191" s="20"/>
      <c r="H191" s="20"/>
      <c r="I191" s="20"/>
      <c r="P191" s="241"/>
      <c r="T191" s="1"/>
    </row>
    <row r="192" spans="1:20" ht="12.75" customHeight="1" x14ac:dyDescent="0.2">
      <c r="A192" s="26"/>
      <c r="B192" s="26"/>
      <c r="C192" s="65">
        <v>0.75</v>
      </c>
      <c r="D192" s="35">
        <v>20</v>
      </c>
      <c r="E192" s="35" t="s">
        <v>5542</v>
      </c>
      <c r="F192" s="34">
        <f>ROUND(F191*1.1,0)</f>
        <v>63</v>
      </c>
      <c r="G192" s="20"/>
      <c r="H192" s="20"/>
      <c r="I192" s="20"/>
      <c r="P192" s="241"/>
      <c r="T192" s="1"/>
    </row>
    <row r="193" spans="1:20" ht="12.75" customHeight="1" x14ac:dyDescent="0.2">
      <c r="A193" s="26"/>
      <c r="B193" s="26"/>
      <c r="C193" s="65">
        <v>1</v>
      </c>
      <c r="D193" s="35">
        <v>25</v>
      </c>
      <c r="E193" s="35" t="s">
        <v>2978</v>
      </c>
      <c r="F193" s="34">
        <f>IFERROR(_xlfn.XLOOKUP(E193,Index!$A:$A,Index!$B:$B),"")</f>
        <v>73.5</v>
      </c>
      <c r="G193" s="20"/>
      <c r="H193" s="20"/>
      <c r="I193" s="20"/>
      <c r="P193" s="241"/>
      <c r="T193" s="1"/>
    </row>
    <row r="194" spans="1:20" ht="12.75" customHeight="1" x14ac:dyDescent="0.2">
      <c r="A194" s="26"/>
      <c r="B194" s="26"/>
      <c r="C194" s="65">
        <v>1.25</v>
      </c>
      <c r="D194" s="35">
        <v>32</v>
      </c>
      <c r="E194" s="35" t="s">
        <v>2979</v>
      </c>
      <c r="F194" s="34">
        <f>IFERROR(_xlfn.XLOOKUP(E194,Index!$A:$A,Index!$B:$B),"")</f>
        <v>80.5</v>
      </c>
      <c r="G194" s="20"/>
      <c r="H194" s="20"/>
      <c r="I194" s="20"/>
      <c r="P194" s="241"/>
      <c r="T194" s="1"/>
    </row>
    <row r="195" spans="1:20" ht="12.75" customHeight="1" x14ac:dyDescent="0.2">
      <c r="A195" s="26"/>
      <c r="B195" s="26"/>
      <c r="C195" s="65">
        <v>1.5</v>
      </c>
      <c r="D195" s="35">
        <v>40</v>
      </c>
      <c r="E195" s="35" t="s">
        <v>2980</v>
      </c>
      <c r="F195" s="34">
        <f>IFERROR(_xlfn.XLOOKUP(E195,Index!$A:$A,Index!$B:$B),"")</f>
        <v>88.5</v>
      </c>
      <c r="G195" s="20"/>
      <c r="H195" s="20"/>
      <c r="I195" s="20"/>
      <c r="P195" s="241"/>
      <c r="T195" s="1"/>
    </row>
    <row r="196" spans="1:20" ht="12.75" customHeight="1" x14ac:dyDescent="0.2">
      <c r="A196" s="26"/>
      <c r="B196" s="26"/>
      <c r="C196" s="65">
        <v>2</v>
      </c>
      <c r="D196" s="35">
        <v>50</v>
      </c>
      <c r="E196" s="35" t="s">
        <v>2981</v>
      </c>
      <c r="F196" s="34">
        <f>IFERROR(_xlfn.XLOOKUP(E196,Index!$A:$A,Index!$B:$B),"")</f>
        <v>88.5</v>
      </c>
      <c r="G196" s="20"/>
      <c r="H196" s="20"/>
      <c r="I196" s="20"/>
      <c r="P196" s="241"/>
      <c r="T196" s="1"/>
    </row>
    <row r="197" spans="1:20" ht="12.75" customHeight="1" x14ac:dyDescent="0.2">
      <c r="A197" s="66"/>
      <c r="B197" s="26"/>
      <c r="C197" s="67">
        <v>2.5</v>
      </c>
      <c r="D197" s="35">
        <v>65</v>
      </c>
      <c r="E197" s="35" t="s">
        <v>2982</v>
      </c>
      <c r="F197" s="34">
        <f>IFERROR(_xlfn.XLOOKUP(E197,Index!$A:$A,Index!$B:$B),"")</f>
        <v>93.5</v>
      </c>
      <c r="G197" s="20"/>
      <c r="H197" s="20"/>
      <c r="I197" s="20"/>
      <c r="P197" s="241"/>
      <c r="T197" s="1"/>
    </row>
    <row r="198" spans="1:20" ht="12.75" customHeight="1" x14ac:dyDescent="0.2">
      <c r="A198" s="26"/>
      <c r="B198" s="27"/>
      <c r="C198" s="65">
        <v>3</v>
      </c>
      <c r="D198" s="35">
        <v>80</v>
      </c>
      <c r="E198" s="35" t="s">
        <v>2982</v>
      </c>
      <c r="F198" s="34">
        <f>IFERROR(_xlfn.XLOOKUP(E198,Index!$A:$A,Index!$B:$B),"")</f>
        <v>93.5</v>
      </c>
      <c r="G198" s="20"/>
      <c r="H198" s="20"/>
      <c r="I198" s="20"/>
      <c r="P198" s="241"/>
      <c r="T198" s="1"/>
    </row>
    <row r="199" spans="1:20" ht="12.75" customHeight="1" x14ac:dyDescent="0.2">
      <c r="A199" s="26"/>
      <c r="B199" s="60" t="s">
        <v>211</v>
      </c>
      <c r="C199" s="65">
        <v>0.25</v>
      </c>
      <c r="D199" s="35">
        <v>6</v>
      </c>
      <c r="E199" s="35" t="s">
        <v>2817</v>
      </c>
      <c r="F199" s="34">
        <f>IFERROR(_xlfn.XLOOKUP(E199,Index!$A:$A,Index!$B:$B),"")</f>
        <v>57.5</v>
      </c>
      <c r="G199" s="20"/>
      <c r="H199" s="20"/>
      <c r="I199" s="20"/>
      <c r="P199" s="241"/>
      <c r="T199" s="1"/>
    </row>
    <row r="200" spans="1:20" ht="12.75" customHeight="1" x14ac:dyDescent="0.2">
      <c r="A200" s="26"/>
      <c r="B200" s="26"/>
      <c r="C200" s="65">
        <v>0.375</v>
      </c>
      <c r="D200" s="35">
        <v>10</v>
      </c>
      <c r="E200" s="35" t="s">
        <v>2817</v>
      </c>
      <c r="F200" s="34">
        <f>IFERROR(_xlfn.XLOOKUP(E200,Index!$A:$A,Index!$B:$B),"")</f>
        <v>57.5</v>
      </c>
      <c r="G200" s="20"/>
      <c r="H200" s="20"/>
      <c r="I200" s="20"/>
      <c r="P200" s="241"/>
      <c r="T200" s="1"/>
    </row>
    <row r="201" spans="1:20" ht="12.75" customHeight="1" x14ac:dyDescent="0.2">
      <c r="A201" s="26"/>
      <c r="B201" s="26"/>
      <c r="C201" s="65">
        <v>0.5</v>
      </c>
      <c r="D201" s="35">
        <v>15</v>
      </c>
      <c r="E201" s="35" t="s">
        <v>2817</v>
      </c>
      <c r="F201" s="34">
        <f>IFERROR(_xlfn.XLOOKUP(E201,Index!$A:$A,Index!$B:$B),"")</f>
        <v>57.5</v>
      </c>
      <c r="G201" s="20"/>
      <c r="H201" s="20"/>
      <c r="I201" s="20"/>
      <c r="P201" s="241"/>
      <c r="T201" s="1"/>
    </row>
    <row r="202" spans="1:20" ht="12.75" customHeight="1" x14ac:dyDescent="0.2">
      <c r="A202" s="26"/>
      <c r="B202" s="26"/>
      <c r="C202" s="65">
        <v>0.75</v>
      </c>
      <c r="D202" s="35">
        <v>20</v>
      </c>
      <c r="E202" s="35" t="s">
        <v>2818</v>
      </c>
      <c r="F202" s="34">
        <f>IFERROR(_xlfn.XLOOKUP(E202,Index!$A:$A,Index!$B:$B),"")</f>
        <v>63.5</v>
      </c>
      <c r="G202" s="20"/>
      <c r="H202" s="20"/>
      <c r="I202" s="20"/>
      <c r="P202" s="241"/>
      <c r="T202" s="1"/>
    </row>
    <row r="203" spans="1:20" ht="12.75" customHeight="1" x14ac:dyDescent="0.2">
      <c r="A203" s="26"/>
      <c r="B203" s="26"/>
      <c r="C203" s="65">
        <v>1</v>
      </c>
      <c r="D203" s="35">
        <v>25</v>
      </c>
      <c r="E203" s="35" t="s">
        <v>2811</v>
      </c>
      <c r="F203" s="34">
        <f>IFERROR(_xlfn.XLOOKUP(E203,Index!$A:$A,Index!$B:$B),"")</f>
        <v>73.5</v>
      </c>
      <c r="G203" s="20"/>
      <c r="H203" s="20"/>
      <c r="I203" s="20"/>
      <c r="P203" s="241"/>
      <c r="T203" s="1"/>
    </row>
    <row r="204" spans="1:20" ht="12.75" customHeight="1" x14ac:dyDescent="0.2">
      <c r="A204" s="26"/>
      <c r="B204" s="26"/>
      <c r="C204" s="65">
        <v>1.25</v>
      </c>
      <c r="D204" s="35">
        <v>32</v>
      </c>
      <c r="E204" s="38" t="s">
        <v>5542</v>
      </c>
      <c r="F204" s="250">
        <f>F203+4</f>
        <v>77.5</v>
      </c>
      <c r="G204" s="20"/>
      <c r="H204" s="20"/>
      <c r="I204" s="20"/>
      <c r="P204" s="241"/>
      <c r="T204" s="1"/>
    </row>
    <row r="205" spans="1:20" ht="12.75" customHeight="1" x14ac:dyDescent="0.2">
      <c r="A205" s="26"/>
      <c r="B205" s="26"/>
      <c r="C205" s="65">
        <v>1.5</v>
      </c>
      <c r="D205" s="35">
        <v>40</v>
      </c>
      <c r="E205" s="38" t="s">
        <v>5542</v>
      </c>
      <c r="F205" s="250">
        <f>F204+5</f>
        <v>82.5</v>
      </c>
      <c r="G205" s="20"/>
      <c r="H205" s="20"/>
      <c r="I205" s="20"/>
      <c r="P205" s="241"/>
      <c r="T205" s="1"/>
    </row>
    <row r="206" spans="1:20" ht="12.75" customHeight="1" x14ac:dyDescent="0.2">
      <c r="A206" s="26"/>
      <c r="B206" s="26"/>
      <c r="C206" s="65">
        <v>2</v>
      </c>
      <c r="D206" s="35">
        <v>50</v>
      </c>
      <c r="E206" s="35" t="s">
        <v>2819</v>
      </c>
      <c r="F206" s="34">
        <f>IFERROR(_xlfn.XLOOKUP(E206,Index!$A:$A,Index!$B:$B),"")</f>
        <v>88.5</v>
      </c>
      <c r="G206" s="20"/>
      <c r="H206" s="20"/>
      <c r="I206" s="20"/>
      <c r="P206" s="241"/>
      <c r="T206" s="1"/>
    </row>
    <row r="207" spans="1:20" ht="12.75" customHeight="1" x14ac:dyDescent="0.2">
      <c r="A207" s="26"/>
      <c r="B207" s="26"/>
      <c r="C207" s="65">
        <v>2.5</v>
      </c>
      <c r="D207" s="35">
        <v>65</v>
      </c>
      <c r="E207" s="38" t="s">
        <v>5542</v>
      </c>
      <c r="F207" s="250">
        <f>F206+3</f>
        <v>91.5</v>
      </c>
      <c r="G207" s="20"/>
      <c r="H207" s="20"/>
      <c r="I207" s="20"/>
      <c r="P207" s="241"/>
      <c r="T207" s="1"/>
    </row>
    <row r="208" spans="1:20" ht="12.75" customHeight="1" x14ac:dyDescent="0.2">
      <c r="A208" s="26"/>
      <c r="B208" s="27"/>
      <c r="C208" s="65">
        <v>3</v>
      </c>
      <c r="D208" s="35">
        <v>80</v>
      </c>
      <c r="E208" s="38" t="s">
        <v>5542</v>
      </c>
      <c r="F208" s="250">
        <f>F207+19</f>
        <v>110.5</v>
      </c>
      <c r="G208" s="20"/>
      <c r="H208" s="20"/>
      <c r="I208" s="20"/>
      <c r="P208" s="241"/>
      <c r="T208" s="1"/>
    </row>
    <row r="209" spans="1:20" ht="12.75" customHeight="1" x14ac:dyDescent="0.2">
      <c r="A209" s="26"/>
      <c r="B209" s="60" t="s">
        <v>122</v>
      </c>
      <c r="C209" s="65">
        <v>0.25</v>
      </c>
      <c r="D209" s="35">
        <v>6</v>
      </c>
      <c r="E209" s="35" t="s">
        <v>2808</v>
      </c>
      <c r="F209" s="34">
        <f>IFERROR(_xlfn.XLOOKUP(E209,Index!$A:$A,Index!$B:$B),"")</f>
        <v>57.5</v>
      </c>
      <c r="G209" s="20"/>
      <c r="H209" s="20"/>
      <c r="I209" s="20"/>
      <c r="P209" s="241"/>
      <c r="T209" s="1"/>
    </row>
    <row r="210" spans="1:20" ht="12.75" customHeight="1" x14ac:dyDescent="0.2">
      <c r="A210" s="26"/>
      <c r="B210" s="26"/>
      <c r="C210" s="65">
        <v>0.375</v>
      </c>
      <c r="D210" s="35">
        <v>10</v>
      </c>
      <c r="E210" s="35" t="s">
        <v>2808</v>
      </c>
      <c r="F210" s="34">
        <f>IFERROR(_xlfn.XLOOKUP(E210,Index!$A:$A,Index!$B:$B),"")</f>
        <v>57.5</v>
      </c>
      <c r="G210" s="20"/>
      <c r="H210" s="20"/>
      <c r="I210" s="20"/>
      <c r="P210" s="241"/>
      <c r="T210" s="1"/>
    </row>
    <row r="211" spans="1:20" ht="12.75" customHeight="1" x14ac:dyDescent="0.2">
      <c r="A211" s="26"/>
      <c r="B211" s="26"/>
      <c r="C211" s="65">
        <v>0.5</v>
      </c>
      <c r="D211" s="35">
        <v>15</v>
      </c>
      <c r="E211" s="35" t="s">
        <v>2808</v>
      </c>
      <c r="F211" s="34">
        <f>IFERROR(_xlfn.XLOOKUP(E211,Index!$A:$A,Index!$B:$B),"")</f>
        <v>57.5</v>
      </c>
      <c r="G211" s="20"/>
      <c r="H211" s="20"/>
      <c r="I211" s="20"/>
      <c r="P211" s="241"/>
      <c r="T211" s="1"/>
    </row>
    <row r="212" spans="1:20" ht="12.75" customHeight="1" x14ac:dyDescent="0.2">
      <c r="A212" s="26"/>
      <c r="B212" s="26"/>
      <c r="C212" s="65">
        <v>0.75</v>
      </c>
      <c r="D212" s="35">
        <v>20</v>
      </c>
      <c r="E212" s="35" t="s">
        <v>2816</v>
      </c>
      <c r="F212" s="34">
        <f>IFERROR(_xlfn.XLOOKUP(E212,Index!$A:$A,Index!$B:$B),"")</f>
        <v>63.5</v>
      </c>
      <c r="G212" s="20"/>
      <c r="H212" s="20"/>
      <c r="I212" s="20"/>
      <c r="P212" s="241"/>
      <c r="T212" s="1"/>
    </row>
    <row r="213" spans="1:20" ht="12.75" customHeight="1" x14ac:dyDescent="0.2">
      <c r="A213" s="26"/>
      <c r="B213" s="26"/>
      <c r="C213" s="65">
        <v>1</v>
      </c>
      <c r="D213" s="35">
        <v>25</v>
      </c>
      <c r="E213" s="35" t="s">
        <v>2983</v>
      </c>
      <c r="F213" s="34">
        <f>IFERROR(_xlfn.XLOOKUP(E213,Index!$A:$A,Index!$B:$B),"")</f>
        <v>73.5</v>
      </c>
      <c r="G213" s="20"/>
      <c r="H213" s="20"/>
      <c r="I213" s="20"/>
      <c r="P213" s="241"/>
      <c r="T213" s="1"/>
    </row>
    <row r="214" spans="1:20" ht="12.75" customHeight="1" x14ac:dyDescent="0.2">
      <c r="A214" s="26"/>
      <c r="B214" s="26"/>
      <c r="C214" s="65">
        <v>1.25</v>
      </c>
      <c r="D214" s="35">
        <v>32</v>
      </c>
      <c r="E214" s="35" t="s">
        <v>2815</v>
      </c>
      <c r="F214" s="34">
        <f>IFERROR(_xlfn.XLOOKUP(E214,Index!$A:$A,Index!$B:$B),"")</f>
        <v>80.5</v>
      </c>
      <c r="G214" s="20"/>
      <c r="H214" s="20"/>
      <c r="I214" s="20"/>
      <c r="P214" s="241"/>
      <c r="T214" s="1"/>
    </row>
    <row r="215" spans="1:20" ht="12.75" customHeight="1" x14ac:dyDescent="0.2">
      <c r="A215" s="26"/>
      <c r="B215" s="26"/>
      <c r="C215" s="65">
        <v>1.5</v>
      </c>
      <c r="D215" s="35">
        <v>40</v>
      </c>
      <c r="E215" s="35" t="s">
        <v>2814</v>
      </c>
      <c r="F215" s="34">
        <f>IFERROR(_xlfn.XLOOKUP(E215,Index!$A:$A,Index!$B:$B),"")</f>
        <v>88.5</v>
      </c>
      <c r="G215" s="20"/>
      <c r="H215" s="20"/>
      <c r="I215" s="20"/>
      <c r="P215" s="241"/>
      <c r="T215" s="1"/>
    </row>
    <row r="216" spans="1:20" ht="12.75" customHeight="1" x14ac:dyDescent="0.2">
      <c r="A216" s="26"/>
      <c r="B216" s="26"/>
      <c r="C216" s="65">
        <v>2</v>
      </c>
      <c r="D216" s="35">
        <v>50</v>
      </c>
      <c r="E216" s="35" t="s">
        <v>2813</v>
      </c>
      <c r="F216" s="34">
        <f>IFERROR(_xlfn.XLOOKUP(E216,Index!$A:$A,Index!$B:$B),"")</f>
        <v>88.5</v>
      </c>
      <c r="G216" s="20"/>
      <c r="H216" s="20"/>
      <c r="I216" s="20"/>
      <c r="P216" s="241"/>
      <c r="T216" s="1"/>
    </row>
    <row r="217" spans="1:20" ht="12.75" customHeight="1" x14ac:dyDescent="0.2">
      <c r="A217" s="26"/>
      <c r="B217" s="26"/>
      <c r="C217" s="65">
        <v>2.5</v>
      </c>
      <c r="D217" s="35">
        <v>65</v>
      </c>
      <c r="E217" s="35" t="s">
        <v>2812</v>
      </c>
      <c r="F217" s="34">
        <f>IFERROR(_xlfn.XLOOKUP(E217,Index!$A:$A,Index!$B:$B),"")</f>
        <v>93.5</v>
      </c>
      <c r="G217" s="20"/>
      <c r="H217" s="20"/>
      <c r="I217" s="20"/>
      <c r="P217" s="241"/>
      <c r="T217" s="1"/>
    </row>
    <row r="218" spans="1:20" ht="12.75" customHeight="1" x14ac:dyDescent="0.2">
      <c r="A218" s="26"/>
      <c r="B218" s="27"/>
      <c r="C218" s="65">
        <v>3</v>
      </c>
      <c r="D218" s="35">
        <v>80</v>
      </c>
      <c r="E218" s="35" t="s">
        <v>2812</v>
      </c>
      <c r="F218" s="34">
        <f>IFERROR(_xlfn.XLOOKUP(E218,Index!$A:$A,Index!$B:$B),"")</f>
        <v>93.5</v>
      </c>
      <c r="G218" s="20"/>
      <c r="H218" s="20"/>
      <c r="I218" s="20"/>
      <c r="P218" s="241"/>
      <c r="T218" s="1"/>
    </row>
    <row r="219" spans="1:20" ht="12.75" customHeight="1" x14ac:dyDescent="0.2">
      <c r="A219" s="26"/>
      <c r="B219" s="60" t="s">
        <v>134</v>
      </c>
      <c r="C219" s="65">
        <v>0.25</v>
      </c>
      <c r="D219" s="35">
        <v>6</v>
      </c>
      <c r="E219" s="38" t="s">
        <v>5542</v>
      </c>
      <c r="F219" s="250">
        <f>F209</f>
        <v>57.5</v>
      </c>
      <c r="G219" s="20"/>
      <c r="H219" s="20"/>
      <c r="I219" s="20"/>
      <c r="P219" s="241"/>
      <c r="T219" s="1"/>
    </row>
    <row r="220" spans="1:20" ht="12.75" customHeight="1" x14ac:dyDescent="0.2">
      <c r="A220" s="26"/>
      <c r="B220" s="26"/>
      <c r="C220" s="65">
        <v>0.375</v>
      </c>
      <c r="D220" s="35">
        <v>10</v>
      </c>
      <c r="E220" s="38" t="s">
        <v>5542</v>
      </c>
      <c r="F220" s="250">
        <f t="shared" ref="F220:F222" si="0">F210</f>
        <v>57.5</v>
      </c>
      <c r="G220" s="20"/>
      <c r="H220" s="20"/>
      <c r="I220" s="20"/>
      <c r="P220" s="241"/>
      <c r="T220" s="1"/>
    </row>
    <row r="221" spans="1:20" ht="12.75" customHeight="1" x14ac:dyDescent="0.2">
      <c r="A221" s="26"/>
      <c r="B221" s="26"/>
      <c r="C221" s="65">
        <v>0.5</v>
      </c>
      <c r="D221" s="35">
        <v>15</v>
      </c>
      <c r="E221" s="38" t="s">
        <v>5542</v>
      </c>
      <c r="F221" s="250">
        <f t="shared" si="0"/>
        <v>57.5</v>
      </c>
      <c r="G221" s="20"/>
      <c r="H221" s="20"/>
      <c r="I221" s="20"/>
      <c r="P221" s="241"/>
      <c r="T221" s="1"/>
    </row>
    <row r="222" spans="1:20" ht="12.75" customHeight="1" x14ac:dyDescent="0.2">
      <c r="A222" s="26"/>
      <c r="B222" s="26"/>
      <c r="C222" s="65">
        <v>0.75</v>
      </c>
      <c r="D222" s="35">
        <v>20</v>
      </c>
      <c r="E222" s="38" t="s">
        <v>5542</v>
      </c>
      <c r="F222" s="250">
        <f t="shared" si="0"/>
        <v>63.5</v>
      </c>
      <c r="G222" s="20"/>
      <c r="H222" s="20"/>
      <c r="I222" s="20"/>
      <c r="P222" s="241"/>
      <c r="T222" s="1"/>
    </row>
    <row r="223" spans="1:20" ht="12.75" customHeight="1" x14ac:dyDescent="0.2">
      <c r="A223" s="26"/>
      <c r="B223" s="26"/>
      <c r="C223" s="65">
        <v>1</v>
      </c>
      <c r="D223" s="35">
        <v>25</v>
      </c>
      <c r="E223" s="35" t="s">
        <v>2810</v>
      </c>
      <c r="F223" s="34">
        <f>IFERROR(_xlfn.XLOOKUP(E223,Index!$A:$A,Index!$B:$B),"")</f>
        <v>73.5</v>
      </c>
      <c r="G223" s="20"/>
      <c r="H223" s="20"/>
      <c r="I223" s="20"/>
      <c r="P223" s="241"/>
      <c r="T223" s="1"/>
    </row>
    <row r="224" spans="1:20" ht="12.75" customHeight="1" x14ac:dyDescent="0.2">
      <c r="A224" s="26"/>
      <c r="B224" s="26"/>
      <c r="C224" s="65">
        <v>1.25</v>
      </c>
      <c r="D224" s="35">
        <v>32</v>
      </c>
      <c r="E224" s="38" t="s">
        <v>5542</v>
      </c>
      <c r="F224" s="250">
        <f>F214</f>
        <v>80.5</v>
      </c>
      <c r="G224" s="20"/>
      <c r="H224" s="20"/>
      <c r="I224" s="20"/>
      <c r="P224" s="241"/>
      <c r="T224" s="1"/>
    </row>
    <row r="225" spans="1:20" ht="12.75" customHeight="1" x14ac:dyDescent="0.2">
      <c r="A225" s="26"/>
      <c r="B225" s="26"/>
      <c r="C225" s="65">
        <v>1.5</v>
      </c>
      <c r="D225" s="35">
        <v>40</v>
      </c>
      <c r="E225" s="35" t="s">
        <v>2820</v>
      </c>
      <c r="F225" s="34">
        <f>IFERROR(_xlfn.XLOOKUP(E225,Index!$A:$A,Index!$B:$B),"")</f>
        <v>88.5</v>
      </c>
      <c r="G225" s="20"/>
      <c r="H225" s="20"/>
      <c r="I225" s="20"/>
      <c r="P225" s="241"/>
      <c r="T225" s="1"/>
    </row>
    <row r="226" spans="1:20" ht="12.75" customHeight="1" x14ac:dyDescent="0.2">
      <c r="A226" s="26"/>
      <c r="B226" s="26"/>
      <c r="C226" s="65">
        <v>2</v>
      </c>
      <c r="D226" s="35">
        <v>50</v>
      </c>
      <c r="E226" s="35" t="s">
        <v>2821</v>
      </c>
      <c r="F226" s="34">
        <f>IFERROR(_xlfn.XLOOKUP(E226,Index!$A:$A,Index!$B:$B),"")</f>
        <v>88.5</v>
      </c>
      <c r="G226" s="20"/>
      <c r="H226" s="20"/>
      <c r="I226" s="20"/>
      <c r="P226" s="241"/>
      <c r="T226" s="1"/>
    </row>
    <row r="227" spans="1:20" ht="12.75" customHeight="1" x14ac:dyDescent="0.2">
      <c r="A227" s="26"/>
      <c r="B227" s="26"/>
      <c r="C227" s="65">
        <v>2.5</v>
      </c>
      <c r="D227" s="35">
        <v>65</v>
      </c>
      <c r="E227" s="35" t="s">
        <v>2822</v>
      </c>
      <c r="F227" s="34">
        <f>IFERROR(_xlfn.XLOOKUP(E227,Index!$A:$A,Index!$B:$B),"")</f>
        <v>93.5</v>
      </c>
      <c r="G227" s="20"/>
      <c r="H227" s="20"/>
      <c r="I227" s="20"/>
      <c r="P227" s="241"/>
      <c r="T227" s="1"/>
    </row>
    <row r="228" spans="1:20" ht="12.75" customHeight="1" x14ac:dyDescent="0.2">
      <c r="A228" s="26"/>
      <c r="B228" s="27"/>
      <c r="C228" s="65">
        <v>3</v>
      </c>
      <c r="D228" s="35">
        <v>80</v>
      </c>
      <c r="E228" s="35" t="s">
        <v>2822</v>
      </c>
      <c r="F228" s="34">
        <f>IFERROR(_xlfn.XLOOKUP(E228,Index!$A:$A,Index!$B:$B),"")</f>
        <v>93.5</v>
      </c>
      <c r="G228" s="20"/>
      <c r="H228" s="20"/>
      <c r="I228" s="20"/>
      <c r="P228" s="241"/>
      <c r="T228" s="1"/>
    </row>
    <row r="229" spans="1:20" ht="12.75" customHeight="1" x14ac:dyDescent="0.2">
      <c r="A229" s="26"/>
      <c r="B229" s="26" t="s">
        <v>145</v>
      </c>
      <c r="C229" s="222">
        <v>0.25</v>
      </c>
      <c r="D229" s="31">
        <v>6</v>
      </c>
      <c r="E229" s="38" t="s">
        <v>5542</v>
      </c>
      <c r="F229" s="250">
        <f>F219</f>
        <v>57.5</v>
      </c>
      <c r="G229" s="20"/>
      <c r="H229" s="20"/>
      <c r="I229" s="20"/>
      <c r="P229" s="241"/>
      <c r="T229" s="1"/>
    </row>
    <row r="230" spans="1:20" ht="12.75" customHeight="1" x14ac:dyDescent="0.2">
      <c r="A230" s="26"/>
      <c r="B230" s="26"/>
      <c r="C230" s="65">
        <v>0.375</v>
      </c>
      <c r="D230" s="35">
        <v>10</v>
      </c>
      <c r="E230" s="38" t="s">
        <v>5542</v>
      </c>
      <c r="F230" s="250">
        <f t="shared" ref="F230:F232" si="1">F220</f>
        <v>57.5</v>
      </c>
      <c r="G230" s="20"/>
      <c r="H230" s="20"/>
      <c r="I230" s="20"/>
      <c r="P230" s="241"/>
      <c r="T230" s="1"/>
    </row>
    <row r="231" spans="1:20" ht="12.75" customHeight="1" x14ac:dyDescent="0.2">
      <c r="A231" s="26"/>
      <c r="B231" s="26"/>
      <c r="C231" s="65">
        <v>0.5</v>
      </c>
      <c r="D231" s="35">
        <v>15</v>
      </c>
      <c r="E231" s="38" t="s">
        <v>5542</v>
      </c>
      <c r="F231" s="250">
        <f t="shared" si="1"/>
        <v>57.5</v>
      </c>
      <c r="G231" s="20"/>
      <c r="H231" s="20"/>
      <c r="I231" s="20"/>
      <c r="P231" s="241"/>
      <c r="T231" s="1"/>
    </row>
    <row r="232" spans="1:20" ht="12.75" customHeight="1" x14ac:dyDescent="0.2">
      <c r="A232" s="26"/>
      <c r="B232" s="26"/>
      <c r="C232" s="65">
        <v>0.75</v>
      </c>
      <c r="D232" s="35">
        <v>20</v>
      </c>
      <c r="E232" s="38" t="s">
        <v>5542</v>
      </c>
      <c r="F232" s="250">
        <f t="shared" si="1"/>
        <v>63.5</v>
      </c>
      <c r="G232" s="20"/>
      <c r="H232" s="20"/>
      <c r="I232" s="20"/>
      <c r="P232" s="241"/>
      <c r="T232" s="1"/>
    </row>
    <row r="233" spans="1:20" ht="12.75" customHeight="1" x14ac:dyDescent="0.2">
      <c r="A233" s="26"/>
      <c r="B233" s="26"/>
      <c r="C233" s="65">
        <v>1</v>
      </c>
      <c r="D233" s="35">
        <v>25</v>
      </c>
      <c r="E233" s="35" t="s">
        <v>2809</v>
      </c>
      <c r="F233" s="34">
        <f>IFERROR(_xlfn.XLOOKUP(E233,Index!$A:$A,Index!$B:$B),"")</f>
        <v>73.5</v>
      </c>
      <c r="G233" s="20"/>
      <c r="H233" s="20"/>
      <c r="I233" s="20"/>
      <c r="P233" s="241"/>
      <c r="T233" s="1"/>
    </row>
    <row r="234" spans="1:20" ht="12.75" customHeight="1" x14ac:dyDescent="0.2">
      <c r="A234" s="26"/>
      <c r="B234" s="26"/>
      <c r="C234" s="65">
        <v>1.25</v>
      </c>
      <c r="D234" s="35">
        <v>32</v>
      </c>
      <c r="E234" s="38" t="s">
        <v>5542</v>
      </c>
      <c r="F234" s="250">
        <f>F225</f>
        <v>88.5</v>
      </c>
      <c r="G234" s="20"/>
      <c r="H234" s="20"/>
      <c r="I234" s="20"/>
      <c r="P234" s="241"/>
      <c r="T234" s="1"/>
    </row>
    <row r="235" spans="1:20" ht="12.75" customHeight="1" x14ac:dyDescent="0.2">
      <c r="A235" s="26"/>
      <c r="B235" s="26"/>
      <c r="C235" s="65">
        <v>1.5</v>
      </c>
      <c r="D235" s="35">
        <v>40</v>
      </c>
      <c r="E235" s="38" t="s">
        <v>5542</v>
      </c>
      <c r="F235" s="250">
        <f>F226</f>
        <v>88.5</v>
      </c>
      <c r="G235" s="20"/>
      <c r="H235" s="20"/>
      <c r="I235" s="20"/>
      <c r="P235" s="241"/>
      <c r="T235" s="1"/>
    </row>
    <row r="236" spans="1:20" ht="12.75" customHeight="1" x14ac:dyDescent="0.2">
      <c r="A236" s="26"/>
      <c r="B236" s="26"/>
      <c r="C236" s="65">
        <v>2</v>
      </c>
      <c r="D236" s="35">
        <v>50</v>
      </c>
      <c r="E236" s="35" t="s">
        <v>2823</v>
      </c>
      <c r="F236" s="34">
        <f>IFERROR(_xlfn.XLOOKUP(E236,Index!$A:$A,Index!$B:$B),"")</f>
        <v>88.5</v>
      </c>
      <c r="G236" s="20"/>
      <c r="H236" s="20"/>
      <c r="I236" s="20"/>
      <c r="P236" s="241"/>
      <c r="T236" s="1"/>
    </row>
    <row r="237" spans="1:20" ht="12.75" customHeight="1" x14ac:dyDescent="0.2">
      <c r="A237" s="26"/>
      <c r="B237" s="26"/>
      <c r="C237" s="65">
        <v>2.5</v>
      </c>
      <c r="D237" s="35">
        <v>65</v>
      </c>
      <c r="E237" s="38" t="s">
        <v>5542</v>
      </c>
      <c r="F237" s="250">
        <f>F227</f>
        <v>93.5</v>
      </c>
      <c r="G237" s="20"/>
      <c r="H237" s="20"/>
      <c r="I237" s="20"/>
      <c r="P237" s="241"/>
      <c r="T237" s="1"/>
    </row>
    <row r="238" spans="1:20" ht="12.75" customHeight="1" x14ac:dyDescent="0.2">
      <c r="A238" s="26"/>
      <c r="B238" s="26"/>
      <c r="C238" s="221">
        <v>3</v>
      </c>
      <c r="D238" s="89">
        <v>80</v>
      </c>
      <c r="E238" s="38" t="s">
        <v>5542</v>
      </c>
      <c r="F238" s="250">
        <f>F208</f>
        <v>110.5</v>
      </c>
      <c r="G238" s="20"/>
      <c r="H238" s="20"/>
      <c r="I238" s="20"/>
      <c r="P238" s="241"/>
      <c r="T238" s="1"/>
    </row>
    <row r="239" spans="1:20" ht="12.75" customHeight="1" x14ac:dyDescent="0.2">
      <c r="A239" s="26"/>
      <c r="B239" s="60" t="s">
        <v>155</v>
      </c>
      <c r="C239" s="65">
        <v>0.25</v>
      </c>
      <c r="D239" s="35">
        <v>6</v>
      </c>
      <c r="E239" s="35" t="s">
        <v>2827</v>
      </c>
      <c r="F239" s="34">
        <f>IFERROR(_xlfn.XLOOKUP(E239,Index!$A:$A,Index!$B:$B),"")</f>
        <v>57.5</v>
      </c>
      <c r="G239" s="20"/>
      <c r="H239" s="20"/>
      <c r="I239" s="20"/>
      <c r="P239" s="241"/>
      <c r="T239" s="1"/>
    </row>
    <row r="240" spans="1:20" ht="12.75" customHeight="1" x14ac:dyDescent="0.2">
      <c r="A240" s="26"/>
      <c r="B240" s="26"/>
      <c r="C240" s="65">
        <v>0.375</v>
      </c>
      <c r="D240" s="35">
        <v>10</v>
      </c>
      <c r="E240" s="35" t="s">
        <v>2827</v>
      </c>
      <c r="F240" s="34">
        <f>IFERROR(_xlfn.XLOOKUP(E240,Index!$A:$A,Index!$B:$B),"")</f>
        <v>57.5</v>
      </c>
      <c r="G240" s="20"/>
      <c r="H240" s="20"/>
      <c r="I240" s="20"/>
      <c r="P240" s="241"/>
      <c r="T240" s="1"/>
    </row>
    <row r="241" spans="1:20" ht="12.75" customHeight="1" x14ac:dyDescent="0.2">
      <c r="A241" s="26"/>
      <c r="B241" s="26"/>
      <c r="C241" s="65">
        <v>0.5</v>
      </c>
      <c r="D241" s="35">
        <v>15</v>
      </c>
      <c r="E241" s="35" t="s">
        <v>2827</v>
      </c>
      <c r="F241" s="34">
        <f>IFERROR(_xlfn.XLOOKUP(E241,Index!$A:$A,Index!$B:$B),"")</f>
        <v>57.5</v>
      </c>
      <c r="G241" s="20"/>
      <c r="H241" s="20"/>
      <c r="I241" s="20"/>
      <c r="P241" s="241"/>
      <c r="T241" s="1"/>
    </row>
    <row r="242" spans="1:20" ht="12.75" customHeight="1" x14ac:dyDescent="0.2">
      <c r="A242" s="26"/>
      <c r="B242" s="26"/>
      <c r="C242" s="65">
        <v>0.75</v>
      </c>
      <c r="D242" s="35">
        <v>20</v>
      </c>
      <c r="E242" s="35" t="s">
        <v>2826</v>
      </c>
      <c r="F242" s="34">
        <f>IFERROR(_xlfn.XLOOKUP(E242,Index!$A:$A,Index!$B:$B),"")</f>
        <v>63.5</v>
      </c>
      <c r="G242" s="20"/>
      <c r="H242" s="20"/>
      <c r="I242" s="20"/>
      <c r="P242" s="241"/>
      <c r="T242" s="1"/>
    </row>
    <row r="243" spans="1:20" ht="12.75" customHeight="1" x14ac:dyDescent="0.2">
      <c r="A243" s="26"/>
      <c r="B243" s="26"/>
      <c r="C243" s="65">
        <v>1</v>
      </c>
      <c r="D243" s="35">
        <v>25</v>
      </c>
      <c r="E243" s="35" t="s">
        <v>2824</v>
      </c>
      <c r="F243" s="34">
        <f>IFERROR(_xlfn.XLOOKUP(E243,Index!$A:$A,Index!$B:$B),"")</f>
        <v>73.5</v>
      </c>
      <c r="G243" s="20"/>
      <c r="H243" s="20"/>
      <c r="I243" s="20"/>
      <c r="P243" s="241"/>
      <c r="T243" s="1"/>
    </row>
    <row r="244" spans="1:20" ht="12.75" customHeight="1" x14ac:dyDescent="0.2">
      <c r="A244" s="26"/>
      <c r="B244" s="26"/>
      <c r="C244" s="65">
        <v>1.25</v>
      </c>
      <c r="D244" s="35">
        <v>32</v>
      </c>
      <c r="E244" s="35" t="s">
        <v>2984</v>
      </c>
      <c r="F244" s="34">
        <f>IFERROR(_xlfn.XLOOKUP(E244,Index!$A:$A,Index!$B:$B),"")</f>
        <v>80.5</v>
      </c>
      <c r="G244" s="20"/>
      <c r="H244" s="20"/>
      <c r="I244" s="20"/>
      <c r="P244" s="241"/>
      <c r="T244" s="1"/>
    </row>
    <row r="245" spans="1:20" ht="12.75" customHeight="1" x14ac:dyDescent="0.2">
      <c r="A245" s="26"/>
      <c r="B245" s="26"/>
      <c r="C245" s="65">
        <v>1.5</v>
      </c>
      <c r="D245" s="35">
        <v>40</v>
      </c>
      <c r="E245" s="35" t="s">
        <v>2985</v>
      </c>
      <c r="F245" s="34">
        <f>IFERROR(_xlfn.XLOOKUP(E245,Index!$A:$A,Index!$B:$B),"")</f>
        <v>88.5</v>
      </c>
      <c r="G245" s="20"/>
      <c r="H245" s="20"/>
      <c r="I245" s="20"/>
      <c r="P245" s="241"/>
      <c r="T245" s="1"/>
    </row>
    <row r="246" spans="1:20" ht="12.75" customHeight="1" x14ac:dyDescent="0.2">
      <c r="A246" s="26"/>
      <c r="B246" s="26"/>
      <c r="C246" s="65">
        <v>2</v>
      </c>
      <c r="D246" s="35">
        <v>50</v>
      </c>
      <c r="E246" s="35" t="s">
        <v>2986</v>
      </c>
      <c r="F246" s="34">
        <f>IFERROR(_xlfn.XLOOKUP(E246,Index!$A:$A,Index!$B:$B),"")</f>
        <v>88.5</v>
      </c>
      <c r="G246" s="20"/>
      <c r="H246" s="20"/>
      <c r="I246" s="20"/>
      <c r="P246" s="241"/>
      <c r="T246" s="1"/>
    </row>
    <row r="247" spans="1:20" ht="12.75" customHeight="1" x14ac:dyDescent="0.2">
      <c r="A247" s="26"/>
      <c r="B247" s="26"/>
      <c r="C247" s="65">
        <v>2.5</v>
      </c>
      <c r="D247" s="35">
        <v>65</v>
      </c>
      <c r="E247" s="35" t="s">
        <v>2825</v>
      </c>
      <c r="F247" s="34">
        <f>IFERROR(_xlfn.XLOOKUP(E247,Index!$A:$A,Index!$B:$B),"")</f>
        <v>93.5</v>
      </c>
      <c r="G247" s="20"/>
      <c r="H247" s="20"/>
      <c r="I247" s="20"/>
      <c r="P247" s="241"/>
      <c r="T247" s="1"/>
    </row>
    <row r="248" spans="1:20" ht="12.75" customHeight="1" x14ac:dyDescent="0.2">
      <c r="A248" s="26"/>
      <c r="B248" s="27"/>
      <c r="C248" s="65">
        <v>3</v>
      </c>
      <c r="D248" s="35">
        <v>80</v>
      </c>
      <c r="E248" s="35" t="s">
        <v>2825</v>
      </c>
      <c r="F248" s="34">
        <f>IFERROR(_xlfn.XLOOKUP(E248,Index!$A:$A,Index!$B:$B),"")</f>
        <v>93.5</v>
      </c>
      <c r="G248" s="20"/>
      <c r="H248" s="20"/>
      <c r="I248" s="20"/>
      <c r="P248" s="241"/>
      <c r="T248" s="1"/>
    </row>
    <row r="249" spans="1:20" ht="12.75" customHeight="1" x14ac:dyDescent="0.2">
      <c r="A249" s="26"/>
      <c r="B249" s="60" t="s">
        <v>212</v>
      </c>
      <c r="C249" s="65">
        <v>0.25</v>
      </c>
      <c r="D249" s="35">
        <v>6</v>
      </c>
      <c r="E249" s="35" t="s">
        <v>168</v>
      </c>
      <c r="F249" s="34">
        <f>IFERROR(_xlfn.XLOOKUP(E249,Index!$A:$A,Index!$B:$B),"")</f>
        <v>2.75</v>
      </c>
      <c r="G249" s="20"/>
      <c r="H249" s="20"/>
      <c r="I249" s="20"/>
      <c r="P249" s="241"/>
      <c r="T249" s="1"/>
    </row>
    <row r="250" spans="1:20" ht="12.75" customHeight="1" x14ac:dyDescent="0.2">
      <c r="A250" s="26"/>
      <c r="B250" s="26"/>
      <c r="C250" s="65">
        <v>0.375</v>
      </c>
      <c r="D250" s="35">
        <v>10</v>
      </c>
      <c r="E250" s="35" t="s">
        <v>168</v>
      </c>
      <c r="F250" s="34">
        <f>IFERROR(_xlfn.XLOOKUP(E250,Index!$A:$A,Index!$B:$B),"")</f>
        <v>2.75</v>
      </c>
      <c r="G250" s="20"/>
      <c r="H250" s="20"/>
      <c r="I250" s="20"/>
      <c r="P250" s="241"/>
      <c r="T250" s="1"/>
    </row>
    <row r="251" spans="1:20" ht="12.75" customHeight="1" x14ac:dyDescent="0.2">
      <c r="A251" s="26"/>
      <c r="B251" s="26"/>
      <c r="C251" s="65">
        <v>0.5</v>
      </c>
      <c r="D251" s="35">
        <v>15</v>
      </c>
      <c r="E251" s="35" t="s">
        <v>168</v>
      </c>
      <c r="F251" s="34">
        <f>IFERROR(_xlfn.XLOOKUP(E251,Index!$A:$A,Index!$B:$B),"")</f>
        <v>2.75</v>
      </c>
      <c r="G251" s="20"/>
      <c r="H251" s="20"/>
      <c r="I251" s="20"/>
      <c r="P251" s="241"/>
      <c r="T251" s="1"/>
    </row>
    <row r="252" spans="1:20" ht="12.75" customHeight="1" x14ac:dyDescent="0.2">
      <c r="A252" s="26"/>
      <c r="B252" s="26"/>
      <c r="C252" s="65">
        <v>0.75</v>
      </c>
      <c r="D252" s="35">
        <v>20</v>
      </c>
      <c r="E252" s="35" t="s">
        <v>169</v>
      </c>
      <c r="F252" s="34">
        <f>IFERROR(_xlfn.XLOOKUP(E252,Index!$A:$A,Index!$B:$B),"")</f>
        <v>6</v>
      </c>
      <c r="G252" s="20"/>
      <c r="H252" s="20"/>
      <c r="I252" s="20"/>
      <c r="P252" s="241"/>
      <c r="T252" s="1"/>
    </row>
    <row r="253" spans="1:20" ht="12.75" customHeight="1" x14ac:dyDescent="0.2">
      <c r="A253" s="26"/>
      <c r="B253" s="26"/>
      <c r="C253" s="65">
        <v>1</v>
      </c>
      <c r="D253" s="35">
        <v>25</v>
      </c>
      <c r="E253" s="35" t="s">
        <v>169</v>
      </c>
      <c r="F253" s="34">
        <f>IFERROR(_xlfn.XLOOKUP(E253,Index!$A:$A,Index!$B:$B),"")</f>
        <v>6</v>
      </c>
      <c r="G253" s="20"/>
      <c r="H253" s="20"/>
      <c r="I253" s="20"/>
      <c r="P253" s="241"/>
      <c r="T253" s="1"/>
    </row>
    <row r="254" spans="1:20" ht="12.75" customHeight="1" x14ac:dyDescent="0.2">
      <c r="A254" s="26"/>
      <c r="B254" s="26"/>
      <c r="C254" s="65">
        <v>1.25</v>
      </c>
      <c r="D254" s="35">
        <v>32</v>
      </c>
      <c r="E254" s="35" t="s">
        <v>170</v>
      </c>
      <c r="F254" s="34">
        <f>IFERROR(_xlfn.XLOOKUP(E254,Index!$A:$A,Index!$B:$B),"")</f>
        <v>7.75</v>
      </c>
      <c r="G254" s="20"/>
      <c r="H254" s="20"/>
      <c r="I254" s="20"/>
      <c r="P254" s="241"/>
      <c r="T254" s="1"/>
    </row>
    <row r="255" spans="1:20" ht="12.75" customHeight="1" x14ac:dyDescent="0.2">
      <c r="A255" s="26"/>
      <c r="B255" s="26"/>
      <c r="C255" s="65">
        <v>1.5</v>
      </c>
      <c r="D255" s="35">
        <v>40</v>
      </c>
      <c r="E255" s="35" t="s">
        <v>170</v>
      </c>
      <c r="F255" s="34">
        <f>IFERROR(_xlfn.XLOOKUP(E255,Index!$A:$A,Index!$B:$B),"")</f>
        <v>7.75</v>
      </c>
      <c r="G255" s="20"/>
      <c r="H255" s="20"/>
      <c r="I255" s="20"/>
      <c r="P255" s="241"/>
      <c r="T255" s="1"/>
    </row>
    <row r="256" spans="1:20" ht="12.75" customHeight="1" x14ac:dyDescent="0.2">
      <c r="A256" s="26"/>
      <c r="B256" s="26"/>
      <c r="C256" s="65">
        <v>2</v>
      </c>
      <c r="D256" s="35">
        <v>50</v>
      </c>
      <c r="E256" s="35" t="s">
        <v>365</v>
      </c>
      <c r="F256" s="34">
        <f>IFERROR(_xlfn.XLOOKUP(E256,Index!$A:$A,Index!$B:$B),"")</f>
        <v>9.75</v>
      </c>
      <c r="G256" s="20"/>
      <c r="H256" s="20"/>
      <c r="I256" s="20"/>
      <c r="P256" s="241"/>
      <c r="T256" s="1"/>
    </row>
    <row r="257" spans="1:20" ht="12.75" customHeight="1" x14ac:dyDescent="0.2">
      <c r="A257" s="26"/>
      <c r="B257" s="26"/>
      <c r="C257" s="65">
        <v>2.5</v>
      </c>
      <c r="D257" s="35">
        <v>65</v>
      </c>
      <c r="E257" s="35" t="s">
        <v>366</v>
      </c>
      <c r="F257" s="34">
        <f>IFERROR(_xlfn.XLOOKUP(E257,Index!$A:$A,Index!$B:$B),"")</f>
        <v>33.25</v>
      </c>
      <c r="G257" s="20"/>
      <c r="H257" s="20"/>
      <c r="I257" s="20"/>
      <c r="P257" s="241"/>
      <c r="T257" s="1"/>
    </row>
    <row r="258" spans="1:20" ht="12.75" customHeight="1" x14ac:dyDescent="0.2">
      <c r="A258" s="27"/>
      <c r="B258" s="27"/>
      <c r="C258" s="65">
        <v>3</v>
      </c>
      <c r="D258" s="35">
        <v>80</v>
      </c>
      <c r="E258" s="35" t="s">
        <v>366</v>
      </c>
      <c r="F258" s="34">
        <f>IFERROR(_xlfn.XLOOKUP(E258,Index!$A:$A,Index!$B:$B),"")</f>
        <v>33.25</v>
      </c>
      <c r="G258" s="20"/>
      <c r="H258" s="20"/>
      <c r="I258" s="20"/>
      <c r="P258" s="241"/>
      <c r="T258" s="1"/>
    </row>
    <row r="259" spans="1:20" ht="12.75" customHeight="1" x14ac:dyDescent="0.2">
      <c r="A259" s="7"/>
      <c r="B259" s="7"/>
      <c r="C259" s="3"/>
      <c r="D259" s="3"/>
      <c r="E259" s="8"/>
      <c r="F259" s="9"/>
      <c r="G259" s="10"/>
      <c r="L259" s="20"/>
      <c r="M259" s="20"/>
      <c r="N259" s="20"/>
      <c r="O259" s="20"/>
    </row>
    <row r="260" spans="1:20" ht="12.75" customHeight="1" x14ac:dyDescent="0.2">
      <c r="A260" s="7"/>
      <c r="C260" s="3"/>
      <c r="D260" s="3"/>
      <c r="E260" s="8"/>
      <c r="F260" s="9"/>
      <c r="G260" s="10"/>
      <c r="L260" s="20"/>
      <c r="M260" s="20"/>
      <c r="N260" s="20"/>
      <c r="O260" s="20"/>
    </row>
    <row r="261" spans="1:20" ht="12.75" customHeight="1" x14ac:dyDescent="0.2">
      <c r="A261" s="47" t="s">
        <v>213</v>
      </c>
      <c r="B261" s="18" t="s">
        <v>214</v>
      </c>
      <c r="D261" s="3"/>
      <c r="E261" s="8"/>
      <c r="F261" s="9"/>
      <c r="G261" s="10"/>
      <c r="L261" s="20"/>
      <c r="M261" s="20"/>
      <c r="N261" s="20"/>
      <c r="O261" s="20"/>
    </row>
    <row r="262" spans="1:20" ht="15.75" x14ac:dyDescent="0.2">
      <c r="A262" s="48" t="s">
        <v>215</v>
      </c>
      <c r="B262" s="11"/>
      <c r="C262" s="4"/>
      <c r="D262" s="4"/>
      <c r="E262" s="5"/>
      <c r="F262" s="9"/>
      <c r="G262" s="4"/>
      <c r="L262" s="20"/>
      <c r="M262" s="20"/>
      <c r="N262" s="20"/>
      <c r="O262" s="20"/>
    </row>
    <row r="263" spans="1:20" ht="12" x14ac:dyDescent="0.2">
      <c r="A263" s="25" t="s">
        <v>35</v>
      </c>
      <c r="B263" s="28" t="s">
        <v>36</v>
      </c>
      <c r="C263" s="29" t="s">
        <v>37</v>
      </c>
      <c r="D263" s="22"/>
      <c r="E263" s="22" t="s">
        <v>38</v>
      </c>
      <c r="F263" s="22"/>
      <c r="G263" s="23" t="s">
        <v>39</v>
      </c>
      <c r="H263" s="23"/>
      <c r="I263" s="42" t="s">
        <v>40</v>
      </c>
      <c r="J263" s="24" t="s">
        <v>41</v>
      </c>
      <c r="L263" s="20"/>
      <c r="M263" s="20"/>
      <c r="N263" s="20"/>
      <c r="O263" s="20"/>
    </row>
    <row r="264" spans="1:20" ht="12.75" customHeight="1" x14ac:dyDescent="0.2">
      <c r="A264" s="32"/>
      <c r="B264" s="32"/>
      <c r="C264" s="33" t="s">
        <v>42</v>
      </c>
      <c r="D264" s="33" t="s">
        <v>43</v>
      </c>
      <c r="E264" s="33" t="s">
        <v>44</v>
      </c>
      <c r="F264" s="33" t="s">
        <v>45</v>
      </c>
      <c r="G264" s="33" t="s">
        <v>46</v>
      </c>
      <c r="H264" s="39" t="s">
        <v>47</v>
      </c>
      <c r="I264" s="33"/>
      <c r="J264" s="41"/>
      <c r="L264" s="20"/>
      <c r="M264" s="20"/>
      <c r="N264" s="20"/>
      <c r="O264" s="20"/>
    </row>
    <row r="265" spans="1:20" ht="12.75" customHeight="1" x14ac:dyDescent="0.2">
      <c r="A265" s="26">
        <v>758</v>
      </c>
      <c r="B265" s="26" t="s">
        <v>216</v>
      </c>
      <c r="C265" s="30" t="s">
        <v>50</v>
      </c>
      <c r="D265" s="35" t="s">
        <v>176</v>
      </c>
      <c r="E265" s="36" t="s">
        <v>217</v>
      </c>
      <c r="F265" s="37">
        <v>20</v>
      </c>
      <c r="G265" s="35">
        <v>9</v>
      </c>
      <c r="H265" s="40">
        <v>4.05</v>
      </c>
      <c r="I265" s="38" t="s">
        <v>218</v>
      </c>
      <c r="J265" s="34">
        <f>IFERROR(_xlfn.XLOOKUP(I265,Index!$A:$A,Index!$B:$B),"")</f>
        <v>466.5</v>
      </c>
      <c r="L265" s="20"/>
      <c r="M265" s="20"/>
      <c r="N265" s="20"/>
      <c r="O265" s="20"/>
    </row>
    <row r="266" spans="1:20" ht="12.75" customHeight="1" x14ac:dyDescent="0.2">
      <c r="A266" s="26"/>
      <c r="B266" s="26"/>
      <c r="C266" s="30"/>
      <c r="D266" s="35" t="s">
        <v>53</v>
      </c>
      <c r="E266" s="36" t="s">
        <v>217</v>
      </c>
      <c r="F266" s="37">
        <v>20</v>
      </c>
      <c r="G266" s="35">
        <v>9</v>
      </c>
      <c r="H266" s="40">
        <v>4.05</v>
      </c>
      <c r="I266" s="38" t="s">
        <v>319</v>
      </c>
      <c r="J266" s="34">
        <f>IFERROR(_xlfn.XLOOKUP(I266,Index!$A:$A,Index!$B:$B),"")</f>
        <v>442.5</v>
      </c>
      <c r="L266" s="20"/>
      <c r="M266" s="20"/>
      <c r="N266" s="20"/>
      <c r="O266" s="20"/>
    </row>
    <row r="267" spans="1:20" ht="12.75" customHeight="1" x14ac:dyDescent="0.2">
      <c r="A267" s="26"/>
      <c r="B267" s="26"/>
      <c r="C267" s="30"/>
      <c r="D267" s="35" t="s">
        <v>55</v>
      </c>
      <c r="E267" s="36" t="s">
        <v>217</v>
      </c>
      <c r="F267" s="37">
        <v>20</v>
      </c>
      <c r="G267" s="35">
        <v>9</v>
      </c>
      <c r="H267" s="40">
        <v>4.05</v>
      </c>
      <c r="I267" s="38" t="s">
        <v>219</v>
      </c>
      <c r="J267" s="34">
        <f>IFERROR(_xlfn.XLOOKUP(I267,Index!$A:$A,Index!$B:$B),"")</f>
        <v>489.5</v>
      </c>
      <c r="L267" s="20"/>
      <c r="M267" s="20"/>
      <c r="N267" s="20"/>
      <c r="O267" s="20"/>
    </row>
    <row r="268" spans="1:20" ht="12.75" customHeight="1" x14ac:dyDescent="0.2">
      <c r="A268" s="26"/>
      <c r="B268" s="26"/>
      <c r="C268" s="30"/>
      <c r="D268" s="35" t="s">
        <v>176</v>
      </c>
      <c r="E268" s="36">
        <v>1</v>
      </c>
      <c r="F268" s="37">
        <v>25</v>
      </c>
      <c r="G268" s="35">
        <v>10</v>
      </c>
      <c r="H268" s="40">
        <v>4.5</v>
      </c>
      <c r="I268" s="38" t="s">
        <v>220</v>
      </c>
      <c r="J268" s="34">
        <f>IFERROR(_xlfn.XLOOKUP(I268,Index!$A:$A,Index!$B:$B),"")</f>
        <v>471.5</v>
      </c>
      <c r="L268" s="20"/>
      <c r="M268" s="20"/>
      <c r="N268" s="20"/>
      <c r="O268" s="20"/>
    </row>
    <row r="269" spans="1:20" ht="12.75" customHeight="1" x14ac:dyDescent="0.2">
      <c r="A269" s="26"/>
      <c r="B269" s="26"/>
      <c r="C269" s="30"/>
      <c r="D269" s="35" t="s">
        <v>53</v>
      </c>
      <c r="E269" s="36">
        <v>1</v>
      </c>
      <c r="F269" s="37">
        <v>25</v>
      </c>
      <c r="G269" s="35">
        <v>10</v>
      </c>
      <c r="H269" s="40">
        <v>4.5</v>
      </c>
      <c r="I269" s="38" t="s">
        <v>5542</v>
      </c>
      <c r="J269" s="34">
        <f>J270</f>
        <v>494.5</v>
      </c>
      <c r="L269" s="20"/>
      <c r="M269" s="20"/>
      <c r="N269" s="20"/>
      <c r="O269" s="20"/>
    </row>
    <row r="270" spans="1:20" ht="12.75" customHeight="1" x14ac:dyDescent="0.2">
      <c r="A270" s="26"/>
      <c r="B270" s="26"/>
      <c r="C270" s="30"/>
      <c r="D270" s="35" t="s">
        <v>55</v>
      </c>
      <c r="E270" s="36">
        <v>1</v>
      </c>
      <c r="F270" s="37">
        <v>25</v>
      </c>
      <c r="G270" s="35">
        <v>10</v>
      </c>
      <c r="H270" s="40">
        <v>4.5</v>
      </c>
      <c r="I270" s="38" t="s">
        <v>222</v>
      </c>
      <c r="J270" s="34">
        <f>IFERROR(_xlfn.XLOOKUP(I270,Index!$A:$A,Index!$B:$B),"")</f>
        <v>494.5</v>
      </c>
      <c r="L270" s="20"/>
      <c r="M270" s="20"/>
      <c r="N270" s="20"/>
      <c r="O270" s="20"/>
    </row>
    <row r="271" spans="1:20" ht="12.75" customHeight="1" x14ac:dyDescent="0.2">
      <c r="A271" s="26"/>
      <c r="B271" s="26"/>
      <c r="C271" s="30"/>
      <c r="D271" s="35" t="s">
        <v>176</v>
      </c>
      <c r="E271" s="36" t="s">
        <v>223</v>
      </c>
      <c r="F271" s="37">
        <v>32</v>
      </c>
      <c r="G271" s="35">
        <v>13</v>
      </c>
      <c r="H271" s="40">
        <v>5.85</v>
      </c>
      <c r="I271" s="38" t="s">
        <v>224</v>
      </c>
      <c r="J271" s="34">
        <f>IFERROR(_xlfn.XLOOKUP(I271,Index!$A:$A,Index!$B:$B),"")</f>
        <v>466.5</v>
      </c>
      <c r="L271" s="20"/>
      <c r="M271" s="20"/>
      <c r="N271" s="20"/>
      <c r="O271" s="20"/>
    </row>
    <row r="272" spans="1:20" ht="12.75" customHeight="1" x14ac:dyDescent="0.2">
      <c r="A272" s="26"/>
      <c r="B272" s="26"/>
      <c r="C272" s="30"/>
      <c r="D272" s="35" t="s">
        <v>53</v>
      </c>
      <c r="E272" s="36" t="s">
        <v>223</v>
      </c>
      <c r="F272" s="37">
        <v>32</v>
      </c>
      <c r="G272" s="35">
        <v>13</v>
      </c>
      <c r="H272" s="40">
        <v>5.85</v>
      </c>
      <c r="I272" s="38" t="s">
        <v>320</v>
      </c>
      <c r="J272" s="34">
        <f>IFERROR(_xlfn.XLOOKUP(I272,Index!$A:$A,Index!$B:$B),"")</f>
        <v>442.5</v>
      </c>
      <c r="L272" s="20"/>
      <c r="M272" s="20"/>
      <c r="N272" s="20"/>
      <c r="O272" s="20"/>
    </row>
    <row r="273" spans="1:15" ht="12.75" customHeight="1" x14ac:dyDescent="0.2">
      <c r="A273" s="26"/>
      <c r="B273" s="26"/>
      <c r="C273" s="30"/>
      <c r="D273" s="35" t="s">
        <v>55</v>
      </c>
      <c r="E273" s="36" t="s">
        <v>223</v>
      </c>
      <c r="F273" s="37">
        <v>32</v>
      </c>
      <c r="G273" s="35">
        <v>13</v>
      </c>
      <c r="H273" s="40">
        <v>5.85</v>
      </c>
      <c r="I273" s="38" t="s">
        <v>461</v>
      </c>
      <c r="J273" s="34">
        <f>IFERROR(_xlfn.XLOOKUP(I273,Index!$A:$A,Index!$B:$B),"")</f>
        <v>442.5</v>
      </c>
      <c r="L273" s="20"/>
      <c r="M273" s="20"/>
      <c r="N273" s="20"/>
      <c r="O273" s="20"/>
    </row>
    <row r="274" spans="1:15" ht="12.75" customHeight="1" x14ac:dyDescent="0.2">
      <c r="A274" s="26"/>
      <c r="B274" s="26"/>
      <c r="C274" s="30"/>
      <c r="D274" s="35" t="s">
        <v>176</v>
      </c>
      <c r="E274" s="36" t="s">
        <v>225</v>
      </c>
      <c r="F274" s="37">
        <v>40</v>
      </c>
      <c r="G274" s="35">
        <v>13</v>
      </c>
      <c r="H274" s="40">
        <v>5.85</v>
      </c>
      <c r="I274" s="38" t="s">
        <v>5769</v>
      </c>
      <c r="J274" s="34">
        <f>IFERROR(_xlfn.XLOOKUP(I274,Index!$A:$A,Index!$B:$B),"")</f>
        <v>483</v>
      </c>
      <c r="L274" s="20"/>
      <c r="M274" s="20"/>
      <c r="N274" s="20"/>
      <c r="O274" s="20"/>
    </row>
    <row r="275" spans="1:15" ht="12.75" customHeight="1" x14ac:dyDescent="0.2">
      <c r="A275" s="26"/>
      <c r="B275" s="26"/>
      <c r="C275" s="30"/>
      <c r="D275" s="35" t="s">
        <v>53</v>
      </c>
      <c r="E275" s="36" t="s">
        <v>225</v>
      </c>
      <c r="F275" s="37">
        <v>40</v>
      </c>
      <c r="G275" s="35">
        <v>13</v>
      </c>
      <c r="H275" s="40">
        <v>5.85</v>
      </c>
      <c r="I275" s="38" t="s">
        <v>226</v>
      </c>
      <c r="J275" s="34">
        <f>IFERROR(_xlfn.XLOOKUP(I275,Index!$A:$A,Index!$B:$B),"")</f>
        <v>502</v>
      </c>
      <c r="L275" s="20"/>
      <c r="M275" s="20"/>
      <c r="N275" s="20"/>
      <c r="O275" s="20"/>
    </row>
    <row r="276" spans="1:15" ht="12.75" customHeight="1" x14ac:dyDescent="0.2">
      <c r="A276" s="26"/>
      <c r="B276" s="26"/>
      <c r="C276" s="30"/>
      <c r="D276" s="35" t="s">
        <v>55</v>
      </c>
      <c r="E276" s="36" t="s">
        <v>225</v>
      </c>
      <c r="F276" s="37">
        <v>40</v>
      </c>
      <c r="G276" s="35">
        <v>13</v>
      </c>
      <c r="H276" s="40">
        <v>5.85</v>
      </c>
      <c r="I276" s="38" t="s">
        <v>227</v>
      </c>
      <c r="J276" s="34">
        <f>IFERROR(_xlfn.XLOOKUP(I276,Index!$A:$A,Index!$B:$B),"")</f>
        <v>502</v>
      </c>
      <c r="L276" s="20"/>
      <c r="M276" s="20"/>
      <c r="N276" s="20"/>
      <c r="O276" s="20"/>
    </row>
    <row r="277" spans="1:15" ht="12.75" customHeight="1" x14ac:dyDescent="0.2">
      <c r="A277" s="26"/>
      <c r="B277" s="26"/>
      <c r="C277" s="30"/>
      <c r="D277" s="35" t="s">
        <v>176</v>
      </c>
      <c r="E277" s="36">
        <v>2</v>
      </c>
      <c r="F277" s="37">
        <v>50</v>
      </c>
      <c r="G277" s="35">
        <v>17</v>
      </c>
      <c r="H277" s="40">
        <v>7.65</v>
      </c>
      <c r="I277" s="38" t="s">
        <v>228</v>
      </c>
      <c r="J277" s="34">
        <f>IFERROR(_xlfn.XLOOKUP(I277,Index!$A:$A,Index!$B:$B),"")</f>
        <v>330.5</v>
      </c>
      <c r="M277" s="20"/>
      <c r="N277" s="20"/>
      <c r="O277" s="20"/>
    </row>
    <row r="278" spans="1:15" ht="12.75" customHeight="1" x14ac:dyDescent="0.2">
      <c r="A278" s="26"/>
      <c r="B278" s="26"/>
      <c r="C278" s="30"/>
      <c r="D278" s="35" t="s">
        <v>53</v>
      </c>
      <c r="E278" s="36">
        <v>2</v>
      </c>
      <c r="F278" s="37">
        <v>50</v>
      </c>
      <c r="G278" s="35">
        <v>17</v>
      </c>
      <c r="H278" s="40">
        <v>7.65</v>
      </c>
      <c r="I278" s="38" t="s">
        <v>229</v>
      </c>
      <c r="J278" s="34">
        <f>IFERROR(_xlfn.XLOOKUP(I278,Index!$A:$A,Index!$B:$B),"")</f>
        <v>347.5</v>
      </c>
      <c r="L278" s="20"/>
      <c r="M278" s="20"/>
      <c r="N278" s="20"/>
      <c r="O278" s="20"/>
    </row>
    <row r="279" spans="1:15" ht="12.75" customHeight="1" x14ac:dyDescent="0.2">
      <c r="A279" s="26"/>
      <c r="B279" s="26"/>
      <c r="C279" s="30"/>
      <c r="D279" s="35" t="s">
        <v>55</v>
      </c>
      <c r="E279" s="36">
        <v>2</v>
      </c>
      <c r="F279" s="37">
        <v>50</v>
      </c>
      <c r="G279" s="35">
        <v>17</v>
      </c>
      <c r="H279" s="40">
        <v>7.65</v>
      </c>
      <c r="I279" s="306" t="s">
        <v>5910</v>
      </c>
      <c r="J279" s="34">
        <f>IFERROR(_xlfn.XLOOKUP(I279,Index!$A:$A,Index!$B:$B),"")</f>
        <v>347.5</v>
      </c>
      <c r="L279" s="20"/>
      <c r="M279" s="20"/>
      <c r="N279" s="20"/>
      <c r="O279" s="20"/>
    </row>
    <row r="280" spans="1:15" ht="12.75" customHeight="1" x14ac:dyDescent="0.2">
      <c r="A280" s="26"/>
      <c r="B280" s="26"/>
      <c r="C280" s="30"/>
      <c r="D280" s="35" t="s">
        <v>176</v>
      </c>
      <c r="E280" s="36" t="s">
        <v>231</v>
      </c>
      <c r="F280" s="37">
        <v>65</v>
      </c>
      <c r="G280" s="35">
        <v>30</v>
      </c>
      <c r="H280" s="40">
        <v>13.5</v>
      </c>
      <c r="I280" s="38" t="s">
        <v>232</v>
      </c>
      <c r="J280" s="34">
        <f>IFERROR(_xlfn.XLOOKUP(I280,Index!$A:$A,Index!$B:$B),"")</f>
        <v>377.5</v>
      </c>
      <c r="L280" s="20"/>
      <c r="M280" s="20"/>
      <c r="N280" s="20"/>
      <c r="O280" s="20"/>
    </row>
    <row r="281" spans="1:15" ht="12.75" customHeight="1" x14ac:dyDescent="0.2">
      <c r="A281" s="26"/>
      <c r="B281" s="26"/>
      <c r="C281" s="30"/>
      <c r="D281" s="35" t="s">
        <v>53</v>
      </c>
      <c r="E281" s="36" t="s">
        <v>231</v>
      </c>
      <c r="F281" s="37">
        <v>65</v>
      </c>
      <c r="G281" s="35">
        <v>30</v>
      </c>
      <c r="H281" s="40">
        <v>13.5</v>
      </c>
      <c r="I281" s="38" t="s">
        <v>233</v>
      </c>
      <c r="J281" s="34">
        <f>IFERROR(_xlfn.XLOOKUP(I281,Index!$A:$A,Index!$B:$B),"")</f>
        <v>396</v>
      </c>
      <c r="L281" s="20"/>
      <c r="M281" s="20"/>
      <c r="N281" s="20"/>
      <c r="O281" s="20"/>
    </row>
    <row r="282" spans="1:15" ht="12.75" customHeight="1" x14ac:dyDescent="0.2">
      <c r="A282" s="26"/>
      <c r="B282" s="26"/>
      <c r="C282" s="30"/>
      <c r="D282" s="35" t="s">
        <v>55</v>
      </c>
      <c r="E282" s="36" t="s">
        <v>231</v>
      </c>
      <c r="F282" s="37">
        <v>65</v>
      </c>
      <c r="G282" s="35">
        <v>30</v>
      </c>
      <c r="H282" s="40">
        <v>13.5</v>
      </c>
      <c r="I282" s="38" t="s">
        <v>234</v>
      </c>
      <c r="J282" s="34">
        <f>IFERROR(_xlfn.XLOOKUP(I282,Index!$A:$A,Index!$B:$B),"")</f>
        <v>396</v>
      </c>
      <c r="L282" s="20"/>
      <c r="M282" s="20"/>
      <c r="N282" s="20"/>
      <c r="O282" s="20"/>
    </row>
    <row r="283" spans="1:15" ht="12.75" customHeight="1" x14ac:dyDescent="0.2">
      <c r="A283" s="26"/>
      <c r="B283" s="26"/>
      <c r="C283" s="30"/>
      <c r="D283" s="35" t="s">
        <v>176</v>
      </c>
      <c r="E283" s="36">
        <v>3</v>
      </c>
      <c r="F283" s="37">
        <v>80</v>
      </c>
      <c r="G283" s="35">
        <v>36</v>
      </c>
      <c r="H283" s="40">
        <v>16.2</v>
      </c>
      <c r="I283" s="38" t="s">
        <v>235</v>
      </c>
      <c r="J283" s="34">
        <f>IFERROR(_xlfn.XLOOKUP(I283,Index!$A:$A,Index!$B:$B),"")</f>
        <v>434.5</v>
      </c>
      <c r="L283" s="20"/>
      <c r="M283" s="20"/>
      <c r="N283" s="20"/>
      <c r="O283" s="20"/>
    </row>
    <row r="284" spans="1:15" ht="12.75" customHeight="1" x14ac:dyDescent="0.2">
      <c r="A284" s="26"/>
      <c r="B284" s="26"/>
      <c r="C284" s="30"/>
      <c r="D284" s="35" t="s">
        <v>53</v>
      </c>
      <c r="E284" s="36">
        <v>3</v>
      </c>
      <c r="F284" s="37">
        <v>80</v>
      </c>
      <c r="G284" s="35">
        <v>36</v>
      </c>
      <c r="H284" s="40">
        <v>16.2</v>
      </c>
      <c r="I284" s="38" t="s">
        <v>236</v>
      </c>
      <c r="J284" s="34">
        <f>IFERROR(_xlfn.XLOOKUP(I284,Index!$A:$A,Index!$B:$B),"")</f>
        <v>455.5</v>
      </c>
      <c r="L284" s="20"/>
      <c r="M284" s="20"/>
      <c r="N284" s="20"/>
      <c r="O284" s="20"/>
    </row>
    <row r="285" spans="1:15" ht="12.75" customHeight="1" x14ac:dyDescent="0.2">
      <c r="A285" s="26"/>
      <c r="B285" s="26"/>
      <c r="C285" s="30"/>
      <c r="D285" s="35" t="s">
        <v>55</v>
      </c>
      <c r="E285" s="36">
        <v>3</v>
      </c>
      <c r="F285" s="37">
        <v>80</v>
      </c>
      <c r="G285" s="35">
        <v>36</v>
      </c>
      <c r="H285" s="40">
        <v>16.2</v>
      </c>
      <c r="I285" s="38" t="s">
        <v>237</v>
      </c>
      <c r="J285" s="34">
        <f>IFERROR(_xlfn.XLOOKUP(I285,Index!$A:$A,Index!$B:$B),"")</f>
        <v>455.5</v>
      </c>
      <c r="L285" s="20"/>
      <c r="M285" s="20"/>
      <c r="N285" s="20"/>
      <c r="O285" s="20"/>
    </row>
    <row r="286" spans="1:15" ht="12.75" customHeight="1" x14ac:dyDescent="0.2">
      <c r="A286" s="26"/>
      <c r="B286" s="26"/>
      <c r="C286" s="30"/>
      <c r="D286" s="35" t="s">
        <v>176</v>
      </c>
      <c r="E286" s="36">
        <v>4</v>
      </c>
      <c r="F286" s="37">
        <v>100</v>
      </c>
      <c r="G286" s="35">
        <v>68</v>
      </c>
      <c r="H286" s="40">
        <v>30.6</v>
      </c>
      <c r="I286" s="38" t="s">
        <v>238</v>
      </c>
      <c r="J286" s="34">
        <f>IFERROR(_xlfn.XLOOKUP(I286,Index!$A:$A,Index!$B:$B),"")</f>
        <v>718</v>
      </c>
      <c r="L286" s="20"/>
      <c r="M286" s="20"/>
      <c r="N286" s="20"/>
      <c r="O286" s="20"/>
    </row>
    <row r="287" spans="1:15" ht="12.75" customHeight="1" x14ac:dyDescent="0.2">
      <c r="A287" s="26"/>
      <c r="B287" s="26"/>
      <c r="C287" s="30"/>
      <c r="D287" s="35" t="s">
        <v>53</v>
      </c>
      <c r="E287" s="36">
        <v>4</v>
      </c>
      <c r="F287" s="37">
        <v>100</v>
      </c>
      <c r="G287" s="35">
        <v>68</v>
      </c>
      <c r="H287" s="40">
        <v>30.6</v>
      </c>
      <c r="I287" s="38" t="s">
        <v>239</v>
      </c>
      <c r="J287" s="34">
        <f>IFERROR(_xlfn.XLOOKUP(I287,Index!$A:$A,Index!$B:$B),"")</f>
        <v>754.5</v>
      </c>
      <c r="L287" s="20"/>
      <c r="M287" s="20"/>
      <c r="N287" s="20"/>
      <c r="O287" s="20"/>
    </row>
    <row r="288" spans="1:15" ht="12.75" customHeight="1" x14ac:dyDescent="0.2">
      <c r="A288" s="26"/>
      <c r="B288" s="26"/>
      <c r="C288" s="30"/>
      <c r="D288" s="35" t="s">
        <v>55</v>
      </c>
      <c r="E288" s="36">
        <v>4</v>
      </c>
      <c r="F288" s="37">
        <v>100</v>
      </c>
      <c r="G288" s="35">
        <v>68</v>
      </c>
      <c r="H288" s="40">
        <v>30.6</v>
      </c>
      <c r="I288" s="38" t="s">
        <v>240</v>
      </c>
      <c r="J288" s="34">
        <f>IFERROR(_xlfn.XLOOKUP(I288,Index!$A:$A,Index!$B:$B),"")</f>
        <v>754.5</v>
      </c>
      <c r="L288" s="20"/>
      <c r="M288" s="20"/>
      <c r="N288" s="20"/>
      <c r="O288" s="20"/>
    </row>
    <row r="289" spans="1:15" ht="12.75" customHeight="1" x14ac:dyDescent="0.2">
      <c r="A289" s="26"/>
      <c r="B289" s="26"/>
      <c r="C289" s="30"/>
      <c r="D289" s="35" t="s">
        <v>241</v>
      </c>
      <c r="E289" s="36">
        <v>5</v>
      </c>
      <c r="F289" s="37">
        <v>125</v>
      </c>
      <c r="G289" s="35">
        <v>102</v>
      </c>
      <c r="H289" s="40">
        <v>45.9</v>
      </c>
      <c r="I289" s="38" t="s">
        <v>242</v>
      </c>
      <c r="J289" s="34">
        <f>IFERROR(_xlfn.XLOOKUP(I289,Index!$A:$A,Index!$B:$B),"")</f>
        <v>1123</v>
      </c>
      <c r="L289" s="20"/>
      <c r="M289" s="20"/>
      <c r="N289" s="20"/>
      <c r="O289" s="20"/>
    </row>
    <row r="290" spans="1:15" ht="12.75" customHeight="1" x14ac:dyDescent="0.2">
      <c r="A290" s="26"/>
      <c r="B290" s="26"/>
      <c r="C290" s="30"/>
      <c r="D290" s="35" t="s">
        <v>53</v>
      </c>
      <c r="E290" s="36">
        <v>5</v>
      </c>
      <c r="F290" s="37">
        <v>125</v>
      </c>
      <c r="G290" s="35">
        <v>102</v>
      </c>
      <c r="H290" s="40">
        <v>45.9</v>
      </c>
      <c r="I290" s="38" t="s">
        <v>243</v>
      </c>
      <c r="J290" s="34">
        <f>IFERROR(_xlfn.XLOOKUP(I290,Index!$A:$A,Index!$B:$B),"")</f>
        <v>1179</v>
      </c>
      <c r="L290" s="20"/>
      <c r="M290" s="20"/>
      <c r="N290" s="20"/>
      <c r="O290" s="20"/>
    </row>
    <row r="291" spans="1:15" ht="12.75" customHeight="1" x14ac:dyDescent="0.2">
      <c r="A291" s="26"/>
      <c r="B291" s="26"/>
      <c r="C291" s="30"/>
      <c r="D291" s="35" t="s">
        <v>55</v>
      </c>
      <c r="E291" s="36">
        <v>5</v>
      </c>
      <c r="F291" s="37">
        <v>125</v>
      </c>
      <c r="G291" s="35">
        <v>102</v>
      </c>
      <c r="H291" s="40">
        <v>45.9</v>
      </c>
      <c r="I291" s="38" t="s">
        <v>244</v>
      </c>
      <c r="J291" s="34">
        <f>IFERROR(_xlfn.XLOOKUP(I291,Index!$A:$A,Index!$B:$B),"")</f>
        <v>1179</v>
      </c>
      <c r="L291" s="20"/>
      <c r="M291" s="20"/>
      <c r="N291" s="20"/>
      <c r="O291" s="20"/>
    </row>
    <row r="292" spans="1:15" ht="12.75" customHeight="1" x14ac:dyDescent="0.2">
      <c r="A292" s="26"/>
      <c r="B292" s="26"/>
      <c r="C292" s="30"/>
      <c r="D292" s="35" t="s">
        <v>241</v>
      </c>
      <c r="E292" s="36">
        <v>6</v>
      </c>
      <c r="F292" s="37">
        <v>150</v>
      </c>
      <c r="G292" s="35">
        <v>150</v>
      </c>
      <c r="H292" s="40">
        <v>67.5</v>
      </c>
      <c r="I292" s="38" t="s">
        <v>245</v>
      </c>
      <c r="J292" s="34">
        <f>IFERROR(_xlfn.XLOOKUP(I292,Index!$A:$A,Index!$B:$B),"")</f>
        <v>1442</v>
      </c>
      <c r="L292" s="20"/>
      <c r="M292" s="20"/>
      <c r="N292" s="20"/>
      <c r="O292" s="20"/>
    </row>
    <row r="293" spans="1:15" ht="12.75" customHeight="1" x14ac:dyDescent="0.2">
      <c r="A293" s="26"/>
      <c r="B293" s="26"/>
      <c r="C293" s="30"/>
      <c r="D293" s="35" t="s">
        <v>53</v>
      </c>
      <c r="E293" s="36">
        <v>6</v>
      </c>
      <c r="F293" s="37">
        <v>150</v>
      </c>
      <c r="G293" s="35">
        <v>150</v>
      </c>
      <c r="H293" s="40">
        <v>67.5</v>
      </c>
      <c r="I293" s="38" t="s">
        <v>246</v>
      </c>
      <c r="J293" s="34">
        <f>IFERROR(_xlfn.XLOOKUP(I293,Index!$A:$A,Index!$B:$B),"")</f>
        <v>1512</v>
      </c>
      <c r="L293" s="20"/>
      <c r="M293" s="20"/>
      <c r="N293" s="20"/>
      <c r="O293" s="20"/>
    </row>
    <row r="294" spans="1:15" ht="12.75" customHeight="1" x14ac:dyDescent="0.2">
      <c r="A294" s="26"/>
      <c r="B294" s="26"/>
      <c r="C294" s="30"/>
      <c r="D294" s="35" t="s">
        <v>55</v>
      </c>
      <c r="E294" s="36">
        <v>6</v>
      </c>
      <c r="F294" s="37">
        <v>150</v>
      </c>
      <c r="G294" s="35">
        <v>150</v>
      </c>
      <c r="H294" s="40">
        <v>67.5</v>
      </c>
      <c r="I294" s="38" t="s">
        <v>247</v>
      </c>
      <c r="J294" s="34">
        <f>IFERROR(_xlfn.XLOOKUP(I294,Index!$A:$A,Index!$B:$B),"")</f>
        <v>1512</v>
      </c>
      <c r="L294" s="20"/>
      <c r="M294" s="20"/>
      <c r="N294" s="20"/>
      <c r="O294" s="20"/>
    </row>
    <row r="295" spans="1:15" ht="12.75" customHeight="1" x14ac:dyDescent="0.2">
      <c r="A295" s="26"/>
      <c r="B295" s="26"/>
      <c r="C295" s="30"/>
      <c r="D295" s="35" t="s">
        <v>241</v>
      </c>
      <c r="E295" s="36">
        <v>8</v>
      </c>
      <c r="F295" s="37">
        <v>200</v>
      </c>
      <c r="G295" s="35">
        <v>270</v>
      </c>
      <c r="H295" s="40">
        <v>121.5</v>
      </c>
      <c r="I295" s="38" t="s">
        <v>248</v>
      </c>
      <c r="J295" s="34">
        <f>IFERROR(_xlfn.XLOOKUP(I295,Index!$A:$A,Index!$B:$B),"")</f>
        <v>2413</v>
      </c>
      <c r="L295" s="20"/>
      <c r="M295" s="20"/>
      <c r="N295" s="20"/>
      <c r="O295" s="20"/>
    </row>
    <row r="296" spans="1:15" ht="12.75" customHeight="1" x14ac:dyDescent="0.2">
      <c r="A296" s="26"/>
      <c r="B296" s="26"/>
      <c r="C296" s="30"/>
      <c r="D296" s="35" t="s">
        <v>53</v>
      </c>
      <c r="E296" s="36">
        <v>8</v>
      </c>
      <c r="F296" s="37">
        <v>200</v>
      </c>
      <c r="G296" s="35">
        <v>270</v>
      </c>
      <c r="H296" s="40">
        <v>121.5</v>
      </c>
      <c r="I296" s="38" t="s">
        <v>249</v>
      </c>
      <c r="J296" s="34">
        <f>IFERROR(_xlfn.XLOOKUP(I296,Index!$A:$A,Index!$B:$B),"")</f>
        <v>2535</v>
      </c>
      <c r="L296" s="20"/>
      <c r="M296" s="20"/>
      <c r="N296" s="20"/>
      <c r="O296" s="20"/>
    </row>
    <row r="297" spans="1:15" ht="12.75" customHeight="1" x14ac:dyDescent="0.2">
      <c r="A297" s="26"/>
      <c r="B297" s="26"/>
      <c r="C297" s="30"/>
      <c r="D297" s="35" t="s">
        <v>55</v>
      </c>
      <c r="E297" s="36">
        <v>8</v>
      </c>
      <c r="F297" s="37">
        <v>200</v>
      </c>
      <c r="G297" s="35">
        <v>270</v>
      </c>
      <c r="H297" s="40">
        <v>121.5</v>
      </c>
      <c r="I297" s="38" t="s">
        <v>5542</v>
      </c>
      <c r="J297" s="34">
        <f>J296</f>
        <v>2535</v>
      </c>
      <c r="L297" s="20"/>
      <c r="M297" s="20"/>
      <c r="N297" s="20"/>
      <c r="O297" s="20"/>
    </row>
    <row r="298" spans="1:15" ht="12.75" customHeight="1" x14ac:dyDescent="0.2">
      <c r="A298" s="26"/>
      <c r="B298" s="26"/>
      <c r="C298" s="30"/>
      <c r="D298" s="35" t="s">
        <v>241</v>
      </c>
      <c r="E298" s="36">
        <v>10</v>
      </c>
      <c r="F298" s="37">
        <v>250</v>
      </c>
      <c r="G298" s="35">
        <v>370</v>
      </c>
      <c r="H298" s="40">
        <v>166.5</v>
      </c>
      <c r="I298" s="38" t="s">
        <v>251</v>
      </c>
      <c r="J298" s="34">
        <f>IFERROR(_xlfn.XLOOKUP(I298,Index!$A:$A,Index!$B:$B),"")</f>
        <v>4392</v>
      </c>
      <c r="L298" s="20"/>
      <c r="M298" s="20"/>
      <c r="N298" s="20"/>
      <c r="O298" s="20"/>
    </row>
    <row r="299" spans="1:15" ht="12.75" customHeight="1" x14ac:dyDescent="0.2">
      <c r="A299" s="26"/>
      <c r="B299" s="26"/>
      <c r="C299" s="30"/>
      <c r="D299" s="35" t="s">
        <v>53</v>
      </c>
      <c r="E299" s="36">
        <v>10</v>
      </c>
      <c r="F299" s="37">
        <v>250</v>
      </c>
      <c r="G299" s="35">
        <v>370</v>
      </c>
      <c r="H299" s="40">
        <v>166.5</v>
      </c>
      <c r="I299" s="38" t="s">
        <v>252</v>
      </c>
      <c r="J299" s="34">
        <f>IFERROR(_xlfn.XLOOKUP(I299,Index!$A:$A,Index!$B:$B),"")</f>
        <v>4610</v>
      </c>
      <c r="L299" s="20"/>
      <c r="M299" s="20"/>
      <c r="N299" s="20"/>
      <c r="O299" s="20"/>
    </row>
    <row r="300" spans="1:15" ht="12.75" customHeight="1" x14ac:dyDescent="0.2">
      <c r="A300" s="26"/>
      <c r="B300" s="26"/>
      <c r="C300" s="30"/>
      <c r="D300" s="35" t="s">
        <v>55</v>
      </c>
      <c r="E300" s="36">
        <v>10</v>
      </c>
      <c r="F300" s="37">
        <v>250</v>
      </c>
      <c r="G300" s="35">
        <v>370</v>
      </c>
      <c r="H300" s="40">
        <v>166.5</v>
      </c>
      <c r="I300" s="38" t="s">
        <v>253</v>
      </c>
      <c r="J300" s="34">
        <f>IFERROR(_xlfn.XLOOKUP(I300,Index!$A:$A,Index!$B:$B),"")</f>
        <v>4610</v>
      </c>
      <c r="L300" s="20"/>
      <c r="M300" s="20"/>
      <c r="N300" s="20"/>
      <c r="O300" s="20"/>
    </row>
    <row r="301" spans="1:15" ht="12.75" customHeight="1" x14ac:dyDescent="0.2">
      <c r="A301" s="26"/>
      <c r="B301" s="26"/>
      <c r="C301" s="30"/>
      <c r="D301" s="35" t="s">
        <v>241</v>
      </c>
      <c r="E301" s="36">
        <v>12</v>
      </c>
      <c r="F301" s="37">
        <v>300</v>
      </c>
      <c r="G301" s="35">
        <v>605</v>
      </c>
      <c r="H301" s="40">
        <v>272.25</v>
      </c>
      <c r="I301" s="38" t="s">
        <v>254</v>
      </c>
      <c r="J301" s="34">
        <f>IFERROR(_xlfn.XLOOKUP(I301,Index!$A:$A,Index!$B:$B),"")</f>
        <v>6590</v>
      </c>
      <c r="L301" s="20"/>
      <c r="M301" s="20"/>
      <c r="N301" s="20"/>
      <c r="O301" s="20"/>
    </row>
    <row r="302" spans="1:15" ht="12.75" customHeight="1" x14ac:dyDescent="0.2">
      <c r="A302" s="26"/>
      <c r="B302" s="26"/>
      <c r="C302" s="30"/>
      <c r="D302" s="35" t="s">
        <v>53</v>
      </c>
      <c r="E302" s="36">
        <v>12</v>
      </c>
      <c r="F302" s="37">
        <v>300</v>
      </c>
      <c r="G302" s="35">
        <v>605</v>
      </c>
      <c r="H302" s="40">
        <v>272.25</v>
      </c>
      <c r="I302" s="38" t="s">
        <v>255</v>
      </c>
      <c r="J302" s="34">
        <f>IFERROR(_xlfn.XLOOKUP(I302,Index!$A:$A,Index!$B:$B),"")</f>
        <v>6920</v>
      </c>
      <c r="L302" s="20"/>
      <c r="M302" s="20"/>
      <c r="N302" s="20"/>
      <c r="O302" s="20"/>
    </row>
    <row r="303" spans="1:15" ht="12.75" customHeight="1" x14ac:dyDescent="0.2">
      <c r="A303" s="26"/>
      <c r="B303" s="26"/>
      <c r="C303" s="30"/>
      <c r="D303" s="35" t="s">
        <v>55</v>
      </c>
      <c r="E303" s="36">
        <v>12</v>
      </c>
      <c r="F303" s="37">
        <v>300</v>
      </c>
      <c r="G303" s="35">
        <v>605</v>
      </c>
      <c r="H303" s="40">
        <v>272.25</v>
      </c>
      <c r="I303" s="35" t="s">
        <v>363</v>
      </c>
      <c r="J303" s="34">
        <f>IFERROR(_xlfn.XLOOKUP(I303,Index!$A:$A,Index!$B:$B),"")</f>
        <v>6254</v>
      </c>
      <c r="L303" s="20"/>
      <c r="M303" s="20"/>
      <c r="N303" s="20"/>
      <c r="O303" s="20"/>
    </row>
    <row r="304" spans="1:15" ht="12.75" customHeight="1" x14ac:dyDescent="0.2">
      <c r="A304" s="26"/>
      <c r="B304" s="26"/>
      <c r="C304" s="30"/>
      <c r="D304" s="35" t="s">
        <v>241</v>
      </c>
      <c r="E304" s="36">
        <v>14</v>
      </c>
      <c r="F304" s="37">
        <v>350</v>
      </c>
      <c r="G304" s="35">
        <v>863</v>
      </c>
      <c r="H304" s="40">
        <v>388.35</v>
      </c>
      <c r="I304" s="38" t="s">
        <v>256</v>
      </c>
      <c r="J304" s="34">
        <f>IFERROR(_xlfn.XLOOKUP(I304,Index!$A:$A,Index!$B:$B),"")</f>
        <v>12164</v>
      </c>
      <c r="L304" s="20"/>
      <c r="M304" s="20"/>
      <c r="N304" s="20"/>
      <c r="O304" s="20"/>
    </row>
    <row r="305" spans="1:15" ht="12.75" customHeight="1" x14ac:dyDescent="0.2">
      <c r="A305" s="26"/>
      <c r="B305" s="26"/>
      <c r="C305" s="30"/>
      <c r="D305" s="35" t="s">
        <v>53</v>
      </c>
      <c r="E305" s="36">
        <v>14</v>
      </c>
      <c r="F305" s="37">
        <v>350</v>
      </c>
      <c r="G305" s="35">
        <v>863</v>
      </c>
      <c r="H305" s="40">
        <v>388.35</v>
      </c>
      <c r="I305" s="38" t="s">
        <v>257</v>
      </c>
      <c r="J305" s="34">
        <f>IFERROR(_xlfn.XLOOKUP(I305,Index!$A:$A,Index!$B:$B),"")</f>
        <v>12772</v>
      </c>
      <c r="L305" s="20"/>
      <c r="M305" s="20"/>
      <c r="N305" s="20"/>
      <c r="O305" s="20"/>
    </row>
    <row r="306" spans="1:15" ht="12.75" customHeight="1" x14ac:dyDescent="0.2">
      <c r="A306" s="26"/>
      <c r="B306" s="26"/>
      <c r="C306" s="30"/>
      <c r="D306" s="35" t="s">
        <v>55</v>
      </c>
      <c r="E306" s="36">
        <v>14</v>
      </c>
      <c r="F306" s="37">
        <v>350</v>
      </c>
      <c r="G306" s="35">
        <v>863</v>
      </c>
      <c r="H306" s="40">
        <v>388.35</v>
      </c>
      <c r="I306" s="38" t="s">
        <v>5542</v>
      </c>
      <c r="J306" s="34">
        <f>J305</f>
        <v>12772</v>
      </c>
      <c r="L306" s="20"/>
      <c r="M306" s="20"/>
      <c r="N306" s="20"/>
      <c r="O306" s="20"/>
    </row>
    <row r="307" spans="1:15" ht="12.75" customHeight="1" x14ac:dyDescent="0.2">
      <c r="A307" s="26"/>
      <c r="B307" s="26"/>
      <c r="C307" s="30"/>
      <c r="D307" s="35" t="s">
        <v>241</v>
      </c>
      <c r="E307" s="36">
        <v>16</v>
      </c>
      <c r="F307" s="37">
        <v>400</v>
      </c>
      <c r="G307" s="35">
        <v>1380</v>
      </c>
      <c r="H307" s="40">
        <v>621</v>
      </c>
      <c r="I307" s="38" t="s">
        <v>258</v>
      </c>
      <c r="J307" s="34">
        <f>IFERROR(_xlfn.XLOOKUP(I307,Index!$A:$A,Index!$B:$B),"")</f>
        <v>17260</v>
      </c>
      <c r="L307" s="20"/>
      <c r="M307" s="20"/>
      <c r="N307" s="20"/>
      <c r="O307" s="20"/>
    </row>
    <row r="308" spans="1:15" ht="12.75" customHeight="1" x14ac:dyDescent="0.2">
      <c r="A308" s="26"/>
      <c r="B308" s="26"/>
      <c r="C308" s="30"/>
      <c r="D308" s="35" t="s">
        <v>53</v>
      </c>
      <c r="E308" s="36">
        <v>16</v>
      </c>
      <c r="F308" s="37">
        <v>400</v>
      </c>
      <c r="G308" s="35">
        <v>1380</v>
      </c>
      <c r="H308" s="40">
        <v>621</v>
      </c>
      <c r="I308" s="38" t="s">
        <v>5542</v>
      </c>
      <c r="J308" s="34">
        <f>J307+698</f>
        <v>17958</v>
      </c>
      <c r="L308" s="20"/>
      <c r="M308" s="20"/>
      <c r="N308" s="20"/>
      <c r="O308" s="20"/>
    </row>
    <row r="309" spans="1:15" ht="12.75" customHeight="1" x14ac:dyDescent="0.2">
      <c r="A309" s="26"/>
      <c r="B309" s="26"/>
      <c r="C309" s="30"/>
      <c r="D309" s="35" t="s">
        <v>55</v>
      </c>
      <c r="E309" s="36">
        <v>16</v>
      </c>
      <c r="F309" s="37">
        <v>400</v>
      </c>
      <c r="G309" s="35">
        <v>1380</v>
      </c>
      <c r="H309" s="40">
        <v>621</v>
      </c>
      <c r="I309" s="38" t="s">
        <v>5542</v>
      </c>
      <c r="J309" s="34">
        <f>J308</f>
        <v>17958</v>
      </c>
      <c r="L309" s="20"/>
      <c r="M309" s="20"/>
      <c r="N309" s="20"/>
      <c r="O309" s="20"/>
    </row>
    <row r="310" spans="1:15" ht="12.75" customHeight="1" x14ac:dyDescent="0.2">
      <c r="A310" s="26"/>
      <c r="B310" s="26"/>
      <c r="C310" s="30"/>
      <c r="D310" s="35" t="s">
        <v>241</v>
      </c>
      <c r="E310" s="36">
        <v>18</v>
      </c>
      <c r="F310" s="37">
        <v>450</v>
      </c>
      <c r="G310" s="35">
        <v>2272</v>
      </c>
      <c r="H310" s="40">
        <v>1032</v>
      </c>
      <c r="I310" s="38" t="s">
        <v>259</v>
      </c>
      <c r="J310" s="34">
        <f>IFERROR(_xlfn.XLOOKUP(I310,Index!$A:$A,Index!$B:$B),"")</f>
        <v>23708</v>
      </c>
      <c r="L310" s="20"/>
      <c r="M310" s="20"/>
      <c r="N310" s="20"/>
      <c r="O310" s="20"/>
    </row>
    <row r="311" spans="1:15" ht="12.75" customHeight="1" x14ac:dyDescent="0.2">
      <c r="A311" s="26"/>
      <c r="B311" s="26"/>
      <c r="C311" s="30"/>
      <c r="D311" s="35" t="s">
        <v>53</v>
      </c>
      <c r="E311" s="36">
        <v>18</v>
      </c>
      <c r="F311" s="37">
        <v>450</v>
      </c>
      <c r="G311" s="35">
        <v>2272</v>
      </c>
      <c r="H311" s="40">
        <v>1032</v>
      </c>
      <c r="I311" s="35" t="s">
        <v>331</v>
      </c>
      <c r="J311" s="34">
        <f>IFERROR(_xlfn.XLOOKUP(I311,Index!$A:$A,Index!$B:$B),"")</f>
        <v>33075</v>
      </c>
      <c r="L311" s="20"/>
      <c r="M311" s="20"/>
      <c r="N311" s="20"/>
      <c r="O311" s="20"/>
    </row>
    <row r="312" spans="1:15" ht="12.75" customHeight="1" x14ac:dyDescent="0.2">
      <c r="A312" s="26"/>
      <c r="B312" s="26"/>
      <c r="C312" s="30"/>
      <c r="D312" s="35" t="s">
        <v>55</v>
      </c>
      <c r="E312" s="36">
        <v>18</v>
      </c>
      <c r="F312" s="37">
        <v>450</v>
      </c>
      <c r="G312" s="35">
        <v>2272</v>
      </c>
      <c r="H312" s="40">
        <v>1032</v>
      </c>
      <c r="I312" s="38" t="s">
        <v>5542</v>
      </c>
      <c r="J312" s="34">
        <f>J311</f>
        <v>33075</v>
      </c>
      <c r="L312" s="20"/>
      <c r="M312" s="20"/>
      <c r="N312" s="20"/>
      <c r="O312" s="20"/>
    </row>
    <row r="313" spans="1:15" ht="12.75" customHeight="1" x14ac:dyDescent="0.2">
      <c r="A313" s="26"/>
      <c r="B313" s="26"/>
      <c r="C313" s="30"/>
      <c r="D313" s="35" t="s">
        <v>241</v>
      </c>
      <c r="E313" s="36">
        <v>20</v>
      </c>
      <c r="F313" s="37">
        <v>500</v>
      </c>
      <c r="G313" s="35">
        <v>2675</v>
      </c>
      <c r="H313" s="40">
        <v>1213</v>
      </c>
      <c r="I313" s="38" t="s">
        <v>260</v>
      </c>
      <c r="J313" s="34">
        <f>IFERROR(_xlfn.XLOOKUP(I313,Index!$A:$A,Index!$B:$B),"")</f>
        <v>32243</v>
      </c>
      <c r="L313" s="20"/>
      <c r="M313" s="20"/>
      <c r="N313" s="20"/>
      <c r="O313" s="20"/>
    </row>
    <row r="314" spans="1:15" ht="12.75" customHeight="1" x14ac:dyDescent="0.2">
      <c r="A314" s="26"/>
      <c r="B314" s="26"/>
      <c r="C314" s="30"/>
      <c r="D314" s="35" t="s">
        <v>53</v>
      </c>
      <c r="E314" s="36">
        <v>20</v>
      </c>
      <c r="F314" s="37">
        <v>500</v>
      </c>
      <c r="G314" s="35">
        <v>2675</v>
      </c>
      <c r="H314" s="40">
        <v>1213</v>
      </c>
      <c r="I314" s="38" t="s">
        <v>5542</v>
      </c>
      <c r="J314" s="34">
        <f>J313+1290</f>
        <v>33533</v>
      </c>
      <c r="L314" s="20"/>
      <c r="M314" s="20"/>
      <c r="N314" s="20"/>
      <c r="O314" s="20"/>
    </row>
    <row r="315" spans="1:15" ht="12.75" customHeight="1" x14ac:dyDescent="0.2">
      <c r="A315" s="26"/>
      <c r="B315" s="26"/>
      <c r="C315" s="30"/>
      <c r="D315" s="35" t="s">
        <v>55</v>
      </c>
      <c r="E315" s="36">
        <v>20</v>
      </c>
      <c r="F315" s="37">
        <v>500</v>
      </c>
      <c r="G315" s="35">
        <v>2675</v>
      </c>
      <c r="H315" s="40">
        <v>1213</v>
      </c>
      <c r="I315" s="38" t="s">
        <v>5542</v>
      </c>
      <c r="J315" s="34">
        <f>J314</f>
        <v>33533</v>
      </c>
      <c r="L315" s="20"/>
      <c r="M315" s="20"/>
      <c r="N315" s="20"/>
      <c r="O315" s="20"/>
    </row>
    <row r="316" spans="1:15" ht="12.75" customHeight="1" x14ac:dyDescent="0.2">
      <c r="A316" s="26"/>
      <c r="B316" s="26"/>
      <c r="C316" s="30"/>
      <c r="D316" s="35" t="s">
        <v>241</v>
      </c>
      <c r="E316" s="36">
        <v>24</v>
      </c>
      <c r="F316" s="37">
        <v>550</v>
      </c>
      <c r="G316" s="35">
        <v>4880</v>
      </c>
      <c r="H316" s="40">
        <v>2213</v>
      </c>
      <c r="I316" s="38" t="s">
        <v>261</v>
      </c>
      <c r="J316" s="34">
        <f>IFERROR(_xlfn.XLOOKUP(I316,Index!$A:$A,Index!$B:$B),"")</f>
        <v>43847</v>
      </c>
      <c r="L316" s="20"/>
      <c r="M316" s="20"/>
      <c r="N316" s="20"/>
      <c r="O316" s="20"/>
    </row>
    <row r="317" spans="1:15" ht="12.75" customHeight="1" x14ac:dyDescent="0.2">
      <c r="A317" s="26"/>
      <c r="B317" s="26"/>
      <c r="C317" s="30"/>
      <c r="D317" s="35" t="s">
        <v>53</v>
      </c>
      <c r="E317" s="36">
        <v>24</v>
      </c>
      <c r="F317" s="37">
        <v>550</v>
      </c>
      <c r="G317" s="35">
        <v>4880</v>
      </c>
      <c r="H317" s="40">
        <v>2213</v>
      </c>
      <c r="I317" s="38" t="s">
        <v>5542</v>
      </c>
      <c r="J317" s="34">
        <f>J316+1754</f>
        <v>45601</v>
      </c>
      <c r="L317" s="20"/>
      <c r="M317" s="20"/>
      <c r="N317" s="20"/>
      <c r="O317" s="20"/>
    </row>
    <row r="318" spans="1:15" ht="12.75" customHeight="1" x14ac:dyDescent="0.2">
      <c r="A318" s="27"/>
      <c r="B318" s="27"/>
      <c r="C318" s="31"/>
      <c r="D318" s="35" t="s">
        <v>55</v>
      </c>
      <c r="E318" s="36">
        <v>24</v>
      </c>
      <c r="F318" s="37">
        <v>550</v>
      </c>
      <c r="G318" s="35">
        <v>4880</v>
      </c>
      <c r="H318" s="40">
        <v>2213</v>
      </c>
      <c r="I318" s="38" t="s">
        <v>5542</v>
      </c>
      <c r="J318" s="34">
        <f>J317</f>
        <v>45601</v>
      </c>
      <c r="L318" s="20"/>
      <c r="M318" s="20"/>
      <c r="N318" s="20"/>
      <c r="O318" s="20"/>
    </row>
    <row r="319" spans="1:15" ht="12.75" customHeight="1" x14ac:dyDescent="0.2">
      <c r="A319" s="12"/>
      <c r="B319" s="12"/>
      <c r="C319" s="4"/>
      <c r="D319" s="4"/>
      <c r="E319" s="5"/>
      <c r="F319" s="21"/>
      <c r="G319" s="4"/>
      <c r="L319" s="20"/>
      <c r="M319" s="20"/>
      <c r="N319" s="20"/>
      <c r="O319" s="20"/>
    </row>
    <row r="320" spans="1:15" ht="12.75" customHeight="1" x14ac:dyDescent="0.2">
      <c r="A320" s="12"/>
      <c r="B320" s="12"/>
      <c r="C320" s="4"/>
      <c r="D320" s="4"/>
      <c r="E320" s="5"/>
      <c r="F320" s="13"/>
      <c r="G320" s="4"/>
      <c r="L320" s="20"/>
      <c r="M320" s="20"/>
      <c r="N320" s="20"/>
      <c r="O320" s="20"/>
    </row>
    <row r="321" spans="1:15" ht="15.75" x14ac:dyDescent="0.2">
      <c r="A321" s="47" t="s">
        <v>5546</v>
      </c>
      <c r="B321" s="47" t="s">
        <v>5545</v>
      </c>
      <c r="D321" s="49"/>
      <c r="E321" s="50"/>
      <c r="F321" s="51"/>
      <c r="G321" s="52"/>
      <c r="H321" s="53"/>
      <c r="I321" s="53"/>
      <c r="J321" s="54"/>
      <c r="L321" s="20"/>
      <c r="M321" s="20"/>
      <c r="N321" s="20"/>
      <c r="O321" s="20"/>
    </row>
    <row r="322" spans="1:15" ht="15" x14ac:dyDescent="0.2">
      <c r="A322" s="56" t="s">
        <v>262</v>
      </c>
      <c r="B322" s="57"/>
      <c r="C322" s="58"/>
      <c r="D322" s="58"/>
      <c r="E322" s="59"/>
      <c r="F322" s="51"/>
      <c r="G322" s="58"/>
      <c r="H322" s="53"/>
      <c r="I322" s="53"/>
      <c r="J322" s="54"/>
      <c r="L322" s="20"/>
      <c r="M322" s="20"/>
      <c r="N322" s="20"/>
      <c r="O322" s="20"/>
    </row>
    <row r="323" spans="1:15" ht="12" x14ac:dyDescent="0.2">
      <c r="A323" s="25" t="s">
        <v>35</v>
      </c>
      <c r="B323" s="28" t="s">
        <v>36</v>
      </c>
      <c r="C323" s="333" t="s">
        <v>37</v>
      </c>
      <c r="D323" s="334"/>
      <c r="E323" s="335" t="s">
        <v>38</v>
      </c>
      <c r="F323" s="336"/>
      <c r="G323" s="335" t="s">
        <v>39</v>
      </c>
      <c r="H323" s="336"/>
      <c r="I323" s="42" t="s">
        <v>40</v>
      </c>
      <c r="J323" s="43" t="s">
        <v>41</v>
      </c>
      <c r="L323" s="20"/>
      <c r="M323" s="20"/>
      <c r="N323" s="20"/>
      <c r="O323" s="20"/>
    </row>
    <row r="324" spans="1:15" ht="12.75" customHeight="1" x14ac:dyDescent="0.2">
      <c r="A324" s="32"/>
      <c r="B324" s="32"/>
      <c r="C324" s="33" t="s">
        <v>42</v>
      </c>
      <c r="D324" s="33" t="s">
        <v>43</v>
      </c>
      <c r="E324" s="33" t="s">
        <v>44</v>
      </c>
      <c r="F324" s="33" t="s">
        <v>45</v>
      </c>
      <c r="G324" s="33" t="s">
        <v>46</v>
      </c>
      <c r="H324" s="33" t="s">
        <v>47</v>
      </c>
      <c r="I324" s="33"/>
      <c r="J324" s="44"/>
      <c r="L324" s="20"/>
      <c r="M324" s="20"/>
      <c r="N324" s="20"/>
      <c r="O324" s="20"/>
    </row>
    <row r="325" spans="1:15" ht="12.75" customHeight="1" x14ac:dyDescent="0.2">
      <c r="A325" s="26" t="s">
        <v>263</v>
      </c>
      <c r="B325" s="26" t="s">
        <v>216</v>
      </c>
      <c r="C325" s="30" t="s">
        <v>50</v>
      </c>
      <c r="D325" s="35" t="s">
        <v>176</v>
      </c>
      <c r="E325" s="36">
        <v>2</v>
      </c>
      <c r="F325" s="45">
        <v>50</v>
      </c>
      <c r="G325" s="35">
        <v>17</v>
      </c>
      <c r="H325" s="38">
        <v>7.65</v>
      </c>
      <c r="I325" s="38" t="s">
        <v>264</v>
      </c>
      <c r="J325" s="34">
        <f>IFERROR(_xlfn.XLOOKUP(I325,Index!$A:$A,Index!$B:$B),"")</f>
        <v>239.5</v>
      </c>
      <c r="L325" s="20"/>
      <c r="M325" s="20"/>
      <c r="N325" s="20"/>
      <c r="O325" s="20"/>
    </row>
    <row r="326" spans="1:15" ht="12.75" customHeight="1" x14ac:dyDescent="0.2">
      <c r="A326" s="26"/>
      <c r="B326" s="26"/>
      <c r="C326" s="30"/>
      <c r="D326" s="35" t="s">
        <v>176</v>
      </c>
      <c r="E326" s="36" t="s">
        <v>231</v>
      </c>
      <c r="F326" s="45">
        <v>65</v>
      </c>
      <c r="G326" s="35">
        <v>30</v>
      </c>
      <c r="H326" s="38">
        <v>13.5</v>
      </c>
      <c r="I326" s="38" t="s">
        <v>265</v>
      </c>
      <c r="J326" s="34">
        <f>IFERROR(_xlfn.XLOOKUP(I326,Index!$A:$A,Index!$B:$B),"")</f>
        <v>274.5</v>
      </c>
      <c r="L326" s="20"/>
      <c r="M326" s="20"/>
      <c r="N326" s="20"/>
      <c r="O326" s="20"/>
    </row>
    <row r="327" spans="1:15" ht="12.75" customHeight="1" x14ac:dyDescent="0.2">
      <c r="A327" s="26"/>
      <c r="B327" s="26"/>
      <c r="C327" s="30"/>
      <c r="D327" s="35" t="s">
        <v>176</v>
      </c>
      <c r="E327" s="36">
        <v>3</v>
      </c>
      <c r="F327" s="45">
        <v>80</v>
      </c>
      <c r="G327" s="35">
        <v>36</v>
      </c>
      <c r="H327" s="38">
        <v>16.2</v>
      </c>
      <c r="I327" s="38" t="s">
        <v>266</v>
      </c>
      <c r="J327" s="34">
        <f>IFERROR(_xlfn.XLOOKUP(I327,Index!$A:$A,Index!$B:$B),"")</f>
        <v>316</v>
      </c>
      <c r="L327" s="20"/>
      <c r="M327" s="20"/>
      <c r="N327" s="20"/>
      <c r="O327" s="20"/>
    </row>
    <row r="328" spans="1:15" ht="12.75" customHeight="1" x14ac:dyDescent="0.2">
      <c r="A328" s="26"/>
      <c r="B328" s="26"/>
      <c r="C328" s="30"/>
      <c r="D328" s="35" t="s">
        <v>176</v>
      </c>
      <c r="E328" s="36">
        <v>4</v>
      </c>
      <c r="F328" s="45">
        <v>100</v>
      </c>
      <c r="G328" s="35">
        <v>68</v>
      </c>
      <c r="H328" s="38">
        <v>30.6</v>
      </c>
      <c r="I328" s="38" t="s">
        <v>267</v>
      </c>
      <c r="J328" s="34">
        <f>IFERROR(_xlfn.XLOOKUP(I328,Index!$A:$A,Index!$B:$B),"")</f>
        <v>522</v>
      </c>
      <c r="L328" s="20"/>
      <c r="M328" s="20"/>
      <c r="N328" s="20"/>
      <c r="O328" s="20"/>
    </row>
    <row r="329" spans="1:15" ht="12.75" customHeight="1" x14ac:dyDescent="0.2">
      <c r="A329" s="26"/>
      <c r="B329" s="26"/>
      <c r="C329" s="30"/>
      <c r="D329" s="35" t="s">
        <v>241</v>
      </c>
      <c r="E329" s="36">
        <v>5</v>
      </c>
      <c r="F329" s="45">
        <v>125</v>
      </c>
      <c r="G329" s="35">
        <v>102</v>
      </c>
      <c r="H329" s="38">
        <v>45.9</v>
      </c>
      <c r="I329" s="38" t="s">
        <v>268</v>
      </c>
      <c r="J329" s="34">
        <f>IFERROR(_xlfn.XLOOKUP(I329,Index!$A:$A,Index!$B:$B),"")</f>
        <v>814.5</v>
      </c>
      <c r="L329" s="20"/>
      <c r="M329" s="20"/>
      <c r="N329" s="20"/>
      <c r="O329" s="20"/>
    </row>
    <row r="330" spans="1:15" ht="12.75" customHeight="1" x14ac:dyDescent="0.2">
      <c r="A330" s="26"/>
      <c r="B330" s="26"/>
      <c r="C330" s="30"/>
      <c r="D330" s="35" t="s">
        <v>241</v>
      </c>
      <c r="E330" s="36">
        <v>6</v>
      </c>
      <c r="F330" s="45">
        <v>150</v>
      </c>
      <c r="G330" s="35">
        <v>150</v>
      </c>
      <c r="H330" s="38">
        <v>67.5</v>
      </c>
      <c r="I330" s="38" t="s">
        <v>269</v>
      </c>
      <c r="J330" s="34">
        <f>IFERROR(_xlfn.XLOOKUP(I330,Index!$A:$A,Index!$B:$B),"")</f>
        <v>1046</v>
      </c>
      <c r="L330" s="20"/>
      <c r="M330" s="20"/>
      <c r="N330" s="20"/>
      <c r="O330" s="20"/>
    </row>
    <row r="331" spans="1:15" ht="12.75" customHeight="1" x14ac:dyDescent="0.2">
      <c r="A331" s="26"/>
      <c r="B331" s="26"/>
      <c r="C331" s="30"/>
      <c r="D331" s="35" t="s">
        <v>241</v>
      </c>
      <c r="E331" s="36">
        <v>8</v>
      </c>
      <c r="F331" s="45">
        <v>200</v>
      </c>
      <c r="G331" s="35">
        <v>270</v>
      </c>
      <c r="H331" s="38">
        <v>121.5</v>
      </c>
      <c r="I331" s="38" t="s">
        <v>270</v>
      </c>
      <c r="J331" s="34">
        <f>IFERROR(_xlfn.XLOOKUP(I331,Index!$A:$A,Index!$B:$B),"")</f>
        <v>1752</v>
      </c>
      <c r="L331" s="20"/>
      <c r="M331" s="20"/>
      <c r="N331" s="20"/>
      <c r="O331" s="20"/>
    </row>
    <row r="332" spans="1:15" ht="12.75" customHeight="1" x14ac:dyDescent="0.2">
      <c r="A332" s="26"/>
      <c r="B332" s="26"/>
      <c r="C332" s="30"/>
      <c r="D332" s="35" t="s">
        <v>241</v>
      </c>
      <c r="E332" s="36">
        <v>10</v>
      </c>
      <c r="F332" s="45">
        <v>250</v>
      </c>
      <c r="G332" s="35">
        <v>370</v>
      </c>
      <c r="H332" s="38">
        <v>166.5</v>
      </c>
      <c r="I332" s="38" t="s">
        <v>271</v>
      </c>
      <c r="J332" s="34">
        <f>IFERROR(_xlfn.XLOOKUP(I332,Index!$A:$A,Index!$B:$B),"")</f>
        <v>3185</v>
      </c>
      <c r="L332" s="20"/>
      <c r="M332" s="20"/>
      <c r="N332" s="20"/>
      <c r="O332" s="20"/>
    </row>
    <row r="333" spans="1:15" ht="12.75" customHeight="1" x14ac:dyDescent="0.2">
      <c r="A333" s="26"/>
      <c r="B333" s="26"/>
      <c r="C333" s="30"/>
      <c r="D333" s="35" t="s">
        <v>241</v>
      </c>
      <c r="E333" s="36">
        <v>12</v>
      </c>
      <c r="F333" s="45">
        <v>300</v>
      </c>
      <c r="G333" s="35">
        <v>605</v>
      </c>
      <c r="H333" s="38">
        <v>272.25</v>
      </c>
      <c r="I333" s="38" t="s">
        <v>272</v>
      </c>
      <c r="J333" s="34">
        <f>IFERROR(_xlfn.XLOOKUP(I333,Index!$A:$A,Index!$B:$B),"")</f>
        <v>4779</v>
      </c>
      <c r="L333" s="20"/>
      <c r="M333" s="20"/>
      <c r="N333" s="20"/>
      <c r="O333" s="20"/>
    </row>
    <row r="334" spans="1:15" ht="12.75" customHeight="1" x14ac:dyDescent="0.2">
      <c r="A334" s="26"/>
      <c r="B334" s="26"/>
      <c r="C334" s="30"/>
      <c r="D334" s="35" t="s">
        <v>241</v>
      </c>
      <c r="E334" s="36">
        <v>14</v>
      </c>
      <c r="F334" s="45">
        <v>350</v>
      </c>
      <c r="G334" s="35">
        <v>863</v>
      </c>
      <c r="H334" s="38">
        <v>388.35</v>
      </c>
      <c r="I334" s="38" t="s">
        <v>273</v>
      </c>
      <c r="J334" s="34">
        <f>IFERROR(_xlfn.XLOOKUP(I334,Index!$A:$A,Index!$B:$B),"")</f>
        <v>8820</v>
      </c>
      <c r="L334" s="20"/>
      <c r="M334" s="20"/>
      <c r="N334" s="20"/>
      <c r="O334" s="20"/>
    </row>
    <row r="335" spans="1:15" ht="12.75" customHeight="1" x14ac:dyDescent="0.2">
      <c r="A335" s="26"/>
      <c r="B335" s="26"/>
      <c r="C335" s="30"/>
      <c r="D335" s="35" t="s">
        <v>241</v>
      </c>
      <c r="E335" s="36">
        <v>16</v>
      </c>
      <c r="F335" s="45">
        <v>400</v>
      </c>
      <c r="G335" s="35">
        <v>1380</v>
      </c>
      <c r="H335" s="38">
        <v>621</v>
      </c>
      <c r="I335" s="38" t="s">
        <v>274</v>
      </c>
      <c r="J335" s="34">
        <f>IFERROR(_xlfn.XLOOKUP(I335,Index!$A:$A,Index!$B:$B),"")</f>
        <v>12516</v>
      </c>
      <c r="L335" s="20"/>
      <c r="M335" s="20"/>
      <c r="N335" s="20"/>
      <c r="O335" s="20"/>
    </row>
    <row r="336" spans="1:15" ht="12.75" customHeight="1" x14ac:dyDescent="0.2">
      <c r="A336" s="27"/>
      <c r="B336" s="27"/>
      <c r="C336" s="31"/>
      <c r="D336" s="35" t="s">
        <v>241</v>
      </c>
      <c r="E336" s="36">
        <v>18</v>
      </c>
      <c r="F336" s="45">
        <v>450</v>
      </c>
      <c r="G336" s="35">
        <v>2272</v>
      </c>
      <c r="H336" s="38">
        <v>1032</v>
      </c>
      <c r="I336" s="38" t="s">
        <v>275</v>
      </c>
      <c r="J336" s="34">
        <f>IFERROR(_xlfn.XLOOKUP(I336,Index!$A:$A,Index!$B:$B),"")</f>
        <v>17021</v>
      </c>
      <c r="L336" s="20"/>
      <c r="M336" s="20"/>
      <c r="N336" s="20"/>
      <c r="O336" s="20"/>
    </row>
    <row r="337" spans="1:15" ht="12.75" customHeight="1" x14ac:dyDescent="0.2">
      <c r="A337" s="12"/>
      <c r="B337" s="12"/>
      <c r="C337" s="4"/>
      <c r="D337" s="4"/>
      <c r="E337" s="220"/>
      <c r="F337" s="316"/>
      <c r="G337" s="4"/>
      <c r="J337" s="84"/>
      <c r="L337" s="20"/>
      <c r="M337" s="20"/>
      <c r="N337" s="20"/>
      <c r="O337" s="20"/>
    </row>
    <row r="338" spans="1:15" ht="12.75" customHeight="1" x14ac:dyDescent="0.2">
      <c r="A338" s="62" t="s">
        <v>6210</v>
      </c>
      <c r="B338" s="47" t="s">
        <v>5545</v>
      </c>
      <c r="C338" s="4"/>
      <c r="D338" s="49"/>
      <c r="E338" s="50"/>
      <c r="F338" s="51"/>
      <c r="G338" s="52"/>
      <c r="H338" s="53"/>
      <c r="I338" s="53"/>
      <c r="J338" s="54"/>
      <c r="L338" s="20"/>
      <c r="M338" s="20"/>
      <c r="N338" s="20"/>
      <c r="O338" s="20"/>
    </row>
    <row r="339" spans="1:15" ht="12.75" customHeight="1" x14ac:dyDescent="0.2">
      <c r="A339" s="56" t="s">
        <v>6212</v>
      </c>
      <c r="B339" s="57"/>
      <c r="C339" s="58"/>
      <c r="D339" s="58"/>
      <c r="E339" s="59"/>
      <c r="F339" s="51"/>
      <c r="G339" s="58"/>
      <c r="H339" s="53"/>
      <c r="I339" s="53"/>
      <c r="J339" s="54"/>
      <c r="L339" s="20"/>
      <c r="M339" s="20"/>
      <c r="N339" s="20"/>
      <c r="O339" s="20"/>
    </row>
    <row r="340" spans="1:15" ht="12.75" customHeight="1" x14ac:dyDescent="0.2">
      <c r="A340" s="25" t="s">
        <v>35</v>
      </c>
      <c r="B340" s="28" t="s">
        <v>36</v>
      </c>
      <c r="C340" s="333" t="s">
        <v>37</v>
      </c>
      <c r="D340" s="334"/>
      <c r="E340" s="335" t="s">
        <v>38</v>
      </c>
      <c r="F340" s="336"/>
      <c r="G340" s="335" t="s">
        <v>39</v>
      </c>
      <c r="H340" s="336"/>
      <c r="I340" s="42" t="s">
        <v>40</v>
      </c>
      <c r="J340" s="43" t="s">
        <v>41</v>
      </c>
      <c r="L340" s="20"/>
      <c r="M340" s="20"/>
      <c r="N340" s="20"/>
      <c r="O340" s="20"/>
    </row>
    <row r="341" spans="1:15" ht="12.75" customHeight="1" x14ac:dyDescent="0.2">
      <c r="A341" s="32"/>
      <c r="B341" s="32"/>
      <c r="C341" s="33" t="s">
        <v>42</v>
      </c>
      <c r="D341" s="33" t="s">
        <v>43</v>
      </c>
      <c r="E341" s="33" t="s">
        <v>44</v>
      </c>
      <c r="F341" s="33" t="s">
        <v>45</v>
      </c>
      <c r="G341" s="33" t="s">
        <v>46</v>
      </c>
      <c r="H341" s="33" t="s">
        <v>47</v>
      </c>
      <c r="I341" s="33"/>
      <c r="J341" s="44"/>
      <c r="L341" s="20"/>
      <c r="M341" s="20"/>
      <c r="N341" s="20"/>
      <c r="O341" s="20"/>
    </row>
    <row r="342" spans="1:15" ht="12.75" customHeight="1" x14ac:dyDescent="0.2">
      <c r="A342" s="26" t="s">
        <v>6211</v>
      </c>
      <c r="B342" s="26" t="s">
        <v>216</v>
      </c>
      <c r="C342" s="30" t="s">
        <v>50</v>
      </c>
      <c r="D342" s="35" t="s">
        <v>176</v>
      </c>
      <c r="E342" s="36">
        <v>2</v>
      </c>
      <c r="F342" s="45">
        <v>50</v>
      </c>
      <c r="G342" s="35">
        <v>17</v>
      </c>
      <c r="H342" s="38">
        <v>7.65</v>
      </c>
      <c r="I342" s="38" t="s">
        <v>6037</v>
      </c>
      <c r="J342" s="34">
        <f>IFERROR(_xlfn.XLOOKUP(I342,Index!$A:$A,Index!$B:$B),"")</f>
        <v>381</v>
      </c>
      <c r="L342" s="20"/>
      <c r="M342" s="20"/>
      <c r="N342" s="20"/>
      <c r="O342" s="20"/>
    </row>
    <row r="343" spans="1:15" ht="12.75" customHeight="1" x14ac:dyDescent="0.2">
      <c r="A343" s="314" t="s">
        <v>6185</v>
      </c>
      <c r="B343" s="26"/>
      <c r="C343" s="30"/>
      <c r="D343" s="35" t="s">
        <v>176</v>
      </c>
      <c r="E343" s="36" t="s">
        <v>231</v>
      </c>
      <c r="F343" s="45">
        <v>65</v>
      </c>
      <c r="G343" s="35">
        <v>30</v>
      </c>
      <c r="H343" s="38">
        <v>13.5</v>
      </c>
      <c r="I343" s="38" t="s">
        <v>6038</v>
      </c>
      <c r="J343" s="34">
        <f>IFERROR(_xlfn.XLOOKUP(I343,Index!$A:$A,Index!$B:$B),"")</f>
        <v>508.5</v>
      </c>
      <c r="L343" s="20"/>
      <c r="M343" s="20"/>
      <c r="N343" s="20"/>
      <c r="O343" s="20"/>
    </row>
    <row r="344" spans="1:15" ht="12.75" customHeight="1" x14ac:dyDescent="0.2">
      <c r="A344" s="26"/>
      <c r="B344" s="26"/>
      <c r="C344" s="30"/>
      <c r="D344" s="35" t="s">
        <v>176</v>
      </c>
      <c r="E344" s="36">
        <v>3</v>
      </c>
      <c r="F344" s="45">
        <v>80</v>
      </c>
      <c r="G344" s="35">
        <v>36</v>
      </c>
      <c r="H344" s="38">
        <v>16.2</v>
      </c>
      <c r="I344" s="38" t="s">
        <v>6039</v>
      </c>
      <c r="J344" s="34">
        <f>IFERROR(_xlfn.XLOOKUP(I344,Index!$A:$A,Index!$B:$B),"")</f>
        <v>586</v>
      </c>
      <c r="L344" s="20"/>
      <c r="M344" s="20"/>
      <c r="N344" s="20"/>
      <c r="O344" s="20"/>
    </row>
    <row r="345" spans="1:15" ht="12.75" customHeight="1" x14ac:dyDescent="0.2">
      <c r="A345" s="26"/>
      <c r="B345" s="26"/>
      <c r="C345" s="30"/>
      <c r="D345" s="35" t="s">
        <v>176</v>
      </c>
      <c r="E345" s="36">
        <v>4</v>
      </c>
      <c r="F345" s="45">
        <v>100</v>
      </c>
      <c r="G345" s="35">
        <v>68</v>
      </c>
      <c r="H345" s="38">
        <v>30.6</v>
      </c>
      <c r="I345" s="38" t="s">
        <v>6040</v>
      </c>
      <c r="J345" s="34">
        <f>IFERROR(_xlfn.XLOOKUP(I345,Index!$A:$A,Index!$B:$B),"")</f>
        <v>969.5</v>
      </c>
      <c r="L345" s="20"/>
      <c r="M345" s="20"/>
      <c r="N345" s="20"/>
      <c r="O345" s="20"/>
    </row>
    <row r="346" spans="1:15" ht="12.75" customHeight="1" x14ac:dyDescent="0.2">
      <c r="A346" s="26"/>
      <c r="B346" s="26"/>
      <c r="C346" s="30"/>
      <c r="D346" s="35" t="s">
        <v>241</v>
      </c>
      <c r="E346" s="36">
        <v>5</v>
      </c>
      <c r="F346" s="45">
        <v>125</v>
      </c>
      <c r="G346" s="35">
        <v>102</v>
      </c>
      <c r="H346" s="38">
        <v>45.9</v>
      </c>
      <c r="I346" s="38" t="s">
        <v>6041</v>
      </c>
      <c r="J346" s="34">
        <f>IFERROR(_xlfn.XLOOKUP(I346,Index!$A:$A,Index!$B:$B),"")</f>
        <v>1517</v>
      </c>
      <c r="L346" s="20"/>
      <c r="M346" s="20"/>
      <c r="N346" s="20"/>
      <c r="O346" s="20"/>
    </row>
    <row r="347" spans="1:15" ht="12.75" customHeight="1" x14ac:dyDescent="0.2">
      <c r="A347" s="26"/>
      <c r="B347" s="26"/>
      <c r="C347" s="30"/>
      <c r="D347" s="35" t="s">
        <v>241</v>
      </c>
      <c r="E347" s="36">
        <v>6</v>
      </c>
      <c r="F347" s="45">
        <v>150</v>
      </c>
      <c r="G347" s="35">
        <v>150</v>
      </c>
      <c r="H347" s="38">
        <v>67.5</v>
      </c>
      <c r="I347" s="38" t="s">
        <v>6042</v>
      </c>
      <c r="J347" s="34">
        <f>IFERROR(_xlfn.XLOOKUP(I347,Index!$A:$A,Index!$B:$B),"")</f>
        <v>1945</v>
      </c>
      <c r="L347" s="20"/>
      <c r="M347" s="20"/>
      <c r="N347" s="20"/>
      <c r="O347" s="20"/>
    </row>
    <row r="348" spans="1:15" ht="12.75" customHeight="1" x14ac:dyDescent="0.2">
      <c r="A348" s="26"/>
      <c r="B348" s="26"/>
      <c r="C348" s="30"/>
      <c r="D348" s="35" t="s">
        <v>241</v>
      </c>
      <c r="E348" s="36">
        <v>8</v>
      </c>
      <c r="F348" s="45">
        <v>200</v>
      </c>
      <c r="G348" s="35">
        <v>270</v>
      </c>
      <c r="H348" s="38">
        <v>121.5</v>
      </c>
      <c r="I348" s="38" t="s">
        <v>6043</v>
      </c>
      <c r="J348" s="34">
        <f>IFERROR(_xlfn.XLOOKUP(I348,Index!$A:$A,Index!$B:$B),"")</f>
        <v>3260</v>
      </c>
      <c r="L348" s="20"/>
      <c r="M348" s="20"/>
      <c r="N348" s="20"/>
      <c r="O348" s="20"/>
    </row>
    <row r="349" spans="1:15" ht="12.75" customHeight="1" x14ac:dyDescent="0.2">
      <c r="A349" s="26"/>
      <c r="B349" s="26"/>
      <c r="C349" s="30"/>
      <c r="D349" s="35" t="s">
        <v>241</v>
      </c>
      <c r="E349" s="36">
        <v>10</v>
      </c>
      <c r="F349" s="45">
        <v>250</v>
      </c>
      <c r="G349" s="35">
        <v>370</v>
      </c>
      <c r="H349" s="38">
        <v>166.5</v>
      </c>
      <c r="I349" s="38" t="s">
        <v>6044</v>
      </c>
      <c r="J349" s="34">
        <f>IFERROR(_xlfn.XLOOKUP(I349,Index!$A:$A,Index!$B:$B),"")</f>
        <v>5049</v>
      </c>
      <c r="L349" s="20"/>
      <c r="M349" s="20"/>
      <c r="N349" s="20"/>
      <c r="O349" s="20"/>
    </row>
    <row r="350" spans="1:15" ht="12.75" customHeight="1" x14ac:dyDescent="0.2">
      <c r="A350" s="26"/>
      <c r="B350" s="26"/>
      <c r="C350" s="30"/>
      <c r="D350" s="35" t="s">
        <v>241</v>
      </c>
      <c r="E350" s="36">
        <v>12</v>
      </c>
      <c r="F350" s="45">
        <v>300</v>
      </c>
      <c r="G350" s="35">
        <v>605</v>
      </c>
      <c r="H350" s="38">
        <v>272.25</v>
      </c>
      <c r="I350" s="38" t="s">
        <v>6045</v>
      </c>
      <c r="J350" s="34">
        <f>IFERROR(_xlfn.XLOOKUP(I350,Index!$A:$A,Index!$B:$B),"")</f>
        <v>7577</v>
      </c>
      <c r="L350" s="20"/>
      <c r="M350" s="20"/>
      <c r="N350" s="20"/>
      <c r="O350" s="20"/>
    </row>
    <row r="351" spans="1:15" ht="12.75" customHeight="1" x14ac:dyDescent="0.2">
      <c r="A351" s="26"/>
      <c r="B351" s="26"/>
      <c r="C351" s="30"/>
      <c r="D351" s="35" t="s">
        <v>241</v>
      </c>
      <c r="E351" s="36">
        <v>14</v>
      </c>
      <c r="F351" s="45">
        <v>350</v>
      </c>
      <c r="G351" s="35">
        <v>863</v>
      </c>
      <c r="H351" s="38">
        <v>388.35</v>
      </c>
      <c r="I351" s="38" t="s">
        <v>6046</v>
      </c>
      <c r="J351" s="34">
        <f>IFERROR(_xlfn.XLOOKUP(I351,Index!$A:$A,Index!$B:$B),"")</f>
        <v>13988</v>
      </c>
      <c r="L351" s="20"/>
      <c r="M351" s="20"/>
      <c r="N351" s="20"/>
      <c r="O351" s="20"/>
    </row>
    <row r="352" spans="1:15" ht="12.75" customHeight="1" x14ac:dyDescent="0.2">
      <c r="A352" s="26"/>
      <c r="B352" s="26"/>
      <c r="C352" s="30"/>
      <c r="D352" s="35" t="s">
        <v>241</v>
      </c>
      <c r="E352" s="36">
        <v>16</v>
      </c>
      <c r="F352" s="45">
        <v>400</v>
      </c>
      <c r="G352" s="35">
        <v>1380</v>
      </c>
      <c r="H352" s="38">
        <v>621</v>
      </c>
      <c r="I352" s="38" t="s">
        <v>6047</v>
      </c>
      <c r="J352" s="34">
        <f>IFERROR(_xlfn.XLOOKUP(I352,Index!$A:$A,Index!$B:$B),"")</f>
        <v>19849</v>
      </c>
      <c r="L352" s="20"/>
      <c r="M352" s="20"/>
      <c r="N352" s="20"/>
      <c r="O352" s="20"/>
    </row>
    <row r="353" spans="1:20" ht="12.75" customHeight="1" x14ac:dyDescent="0.2">
      <c r="A353" s="26"/>
      <c r="B353" s="26"/>
      <c r="C353" s="30"/>
      <c r="D353" s="35" t="s">
        <v>241</v>
      </c>
      <c r="E353" s="36">
        <v>18</v>
      </c>
      <c r="F353" s="45">
        <v>450</v>
      </c>
      <c r="G353" s="35">
        <v>2272</v>
      </c>
      <c r="H353" s="38">
        <v>1032</v>
      </c>
      <c r="I353" s="38" t="s">
        <v>6048</v>
      </c>
      <c r="J353" s="34">
        <f>IFERROR(_xlfn.XLOOKUP(I353,Index!$A:$A,Index!$B:$B),"")</f>
        <v>27264</v>
      </c>
      <c r="L353" s="20"/>
      <c r="M353" s="20"/>
      <c r="N353" s="20"/>
      <c r="O353" s="20"/>
    </row>
    <row r="354" spans="1:20" ht="12.75" customHeight="1" x14ac:dyDescent="0.2">
      <c r="A354" s="26"/>
      <c r="B354" s="26"/>
      <c r="C354" s="30"/>
      <c r="D354" s="35" t="s">
        <v>241</v>
      </c>
      <c r="E354" s="36">
        <v>20</v>
      </c>
      <c r="F354" s="45">
        <v>500</v>
      </c>
      <c r="G354" s="35">
        <v>2675</v>
      </c>
      <c r="H354" s="38">
        <v>1213</v>
      </c>
      <c r="I354" s="38" t="s">
        <v>6049</v>
      </c>
      <c r="J354" s="34">
        <f>IFERROR(_xlfn.XLOOKUP(I354,Index!$A:$A,Index!$B:$B),"")</f>
        <v>37078</v>
      </c>
      <c r="L354" s="20"/>
      <c r="M354" s="20"/>
      <c r="N354" s="20"/>
      <c r="O354" s="20"/>
    </row>
    <row r="355" spans="1:20" ht="12.75" customHeight="1" x14ac:dyDescent="0.2">
      <c r="A355" s="27"/>
      <c r="B355" s="27"/>
      <c r="C355" s="31"/>
      <c r="D355" s="35" t="s">
        <v>241</v>
      </c>
      <c r="E355" s="36">
        <v>24</v>
      </c>
      <c r="F355" s="45">
        <v>550</v>
      </c>
      <c r="G355" s="35">
        <v>4880</v>
      </c>
      <c r="H355" s="38">
        <v>2213</v>
      </c>
      <c r="I355" s="38" t="s">
        <v>6050</v>
      </c>
      <c r="J355" s="34">
        <f>IFERROR(_xlfn.XLOOKUP(I355,Index!$A:$A,Index!$B:$B),"")</f>
        <v>50425</v>
      </c>
      <c r="L355" s="20"/>
      <c r="M355" s="20"/>
      <c r="N355" s="20"/>
      <c r="O355" s="20"/>
    </row>
    <row r="356" spans="1:20" ht="12.75" customHeight="1" x14ac:dyDescent="0.2">
      <c r="A356" s="12"/>
      <c r="B356" s="12"/>
      <c r="C356" s="4"/>
      <c r="D356" s="4"/>
      <c r="E356" s="220"/>
      <c r="F356" s="316"/>
      <c r="G356" s="4"/>
      <c r="J356" s="84"/>
      <c r="L356" s="20"/>
      <c r="M356" s="20"/>
      <c r="N356" s="20"/>
      <c r="O356" s="20"/>
    </row>
    <row r="357" spans="1:20" ht="15.75" x14ac:dyDescent="0.2">
      <c r="A357" s="217" t="s">
        <v>278</v>
      </c>
      <c r="B357" s="18"/>
      <c r="C357" s="231"/>
      <c r="D357" s="231"/>
      <c r="E357" s="231"/>
      <c r="F357" s="231"/>
      <c r="G357" s="52"/>
      <c r="H357" s="53"/>
      <c r="I357" s="53"/>
      <c r="J357" s="54"/>
      <c r="L357" s="20"/>
      <c r="M357" s="20"/>
      <c r="N357" s="20"/>
      <c r="O357" s="20"/>
    </row>
    <row r="358" spans="1:20" ht="15.75" x14ac:dyDescent="0.2">
      <c r="A358" s="48" t="s">
        <v>102</v>
      </c>
      <c r="B358" s="57"/>
      <c r="C358" s="58"/>
      <c r="D358" s="58"/>
      <c r="E358" s="59"/>
      <c r="F358" s="51"/>
      <c r="G358" s="58"/>
      <c r="H358" s="53"/>
      <c r="I358" s="53"/>
      <c r="J358" s="54"/>
      <c r="L358" s="20"/>
      <c r="M358" s="20"/>
      <c r="N358" s="20"/>
      <c r="O358" s="20"/>
    </row>
    <row r="359" spans="1:20" ht="12.75" customHeight="1" x14ac:dyDescent="0.2">
      <c r="A359" s="25" t="s">
        <v>35</v>
      </c>
      <c r="B359" s="28" t="s">
        <v>103</v>
      </c>
      <c r="C359" s="335" t="s">
        <v>38</v>
      </c>
      <c r="D359" s="336"/>
      <c r="E359" s="42" t="s">
        <v>40</v>
      </c>
      <c r="F359" s="43" t="s">
        <v>41</v>
      </c>
      <c r="G359" s="20"/>
      <c r="H359" s="20"/>
      <c r="I359" s="20"/>
      <c r="P359" s="241"/>
      <c r="T359" s="1"/>
    </row>
    <row r="360" spans="1:20" ht="12.75" customHeight="1" x14ac:dyDescent="0.2">
      <c r="A360" s="32"/>
      <c r="B360" s="32"/>
      <c r="C360" s="33" t="s">
        <v>44</v>
      </c>
      <c r="D360" s="33" t="s">
        <v>45</v>
      </c>
      <c r="E360" s="33"/>
      <c r="F360" s="44"/>
      <c r="G360" s="20"/>
      <c r="H360" s="20"/>
      <c r="I360" s="20"/>
      <c r="P360" s="241"/>
      <c r="T360" s="1"/>
    </row>
    <row r="361" spans="1:20" ht="12.75" customHeight="1" x14ac:dyDescent="0.2">
      <c r="A361" s="60" t="s">
        <v>5543</v>
      </c>
      <c r="B361" s="60" t="s">
        <v>104</v>
      </c>
      <c r="C361" s="61" t="s">
        <v>217</v>
      </c>
      <c r="D361" s="35">
        <v>20</v>
      </c>
      <c r="E361" s="35" t="s">
        <v>279</v>
      </c>
      <c r="F361" s="34">
        <f>IFERROR(_xlfn.XLOOKUP(E361,Index!$A:$A,Index!$B:$B),"")</f>
        <v>8.5</v>
      </c>
      <c r="G361" s="20"/>
      <c r="H361" s="20"/>
      <c r="I361" s="20"/>
      <c r="P361" s="241"/>
      <c r="T361" s="1"/>
    </row>
    <row r="362" spans="1:20" ht="12.75" customHeight="1" x14ac:dyDescent="0.2">
      <c r="A362" s="26"/>
      <c r="B362" s="26"/>
      <c r="C362" s="35">
        <v>1</v>
      </c>
      <c r="D362" s="35">
        <v>25</v>
      </c>
      <c r="E362" s="35" t="s">
        <v>279</v>
      </c>
      <c r="F362" s="34">
        <f>IFERROR(_xlfn.XLOOKUP(E362,Index!$A:$A,Index!$B:$B),"")</f>
        <v>8.5</v>
      </c>
      <c r="G362" s="20"/>
      <c r="H362" s="20"/>
      <c r="I362" s="20"/>
      <c r="P362" s="241"/>
      <c r="T362" s="1"/>
    </row>
    <row r="363" spans="1:20" ht="12.75" customHeight="1" x14ac:dyDescent="0.2">
      <c r="A363" s="26"/>
      <c r="B363" s="26"/>
      <c r="C363" s="35" t="s">
        <v>223</v>
      </c>
      <c r="D363" s="35">
        <v>32</v>
      </c>
      <c r="E363" s="35" t="s">
        <v>279</v>
      </c>
      <c r="F363" s="34">
        <f>IFERROR(_xlfn.XLOOKUP(E363,Index!$A:$A,Index!$B:$B),"")</f>
        <v>8.5</v>
      </c>
      <c r="G363" s="20"/>
      <c r="H363" s="20"/>
      <c r="I363" s="20"/>
      <c r="P363" s="241"/>
      <c r="T363" s="1"/>
    </row>
    <row r="364" spans="1:20" ht="12.75" customHeight="1" x14ac:dyDescent="0.2">
      <c r="A364" s="26"/>
      <c r="B364" s="26"/>
      <c r="C364" s="35" t="s">
        <v>225</v>
      </c>
      <c r="D364" s="35">
        <v>40</v>
      </c>
      <c r="E364" s="35" t="s">
        <v>279</v>
      </c>
      <c r="F364" s="34">
        <f>IFERROR(_xlfn.XLOOKUP(E364,Index!$A:$A,Index!$B:$B),"")</f>
        <v>8.5</v>
      </c>
      <c r="G364" s="20"/>
      <c r="H364" s="20"/>
      <c r="I364" s="20"/>
      <c r="P364" s="241"/>
      <c r="T364" s="1"/>
    </row>
    <row r="365" spans="1:20" ht="12.75" customHeight="1" x14ac:dyDescent="0.2">
      <c r="A365" s="26"/>
      <c r="B365" s="26"/>
      <c r="C365" s="35">
        <v>2</v>
      </c>
      <c r="D365" s="35">
        <v>50</v>
      </c>
      <c r="E365" s="35" t="s">
        <v>280</v>
      </c>
      <c r="F365" s="34">
        <f>IFERROR(_xlfn.XLOOKUP(E365,Index!$A:$A,Index!$B:$B),"")</f>
        <v>9.75</v>
      </c>
      <c r="G365" s="20"/>
      <c r="H365" s="20"/>
      <c r="I365" s="20"/>
      <c r="P365" s="241"/>
      <c r="T365" s="1"/>
    </row>
    <row r="366" spans="1:20" ht="12.75" customHeight="1" x14ac:dyDescent="0.2">
      <c r="A366" s="26"/>
      <c r="B366" s="26"/>
      <c r="C366" s="35" t="s">
        <v>231</v>
      </c>
      <c r="D366" s="35">
        <v>65</v>
      </c>
      <c r="E366" s="35" t="s">
        <v>281</v>
      </c>
      <c r="F366" s="34">
        <f>IFERROR(_xlfn.XLOOKUP(E366,Index!$A:$A,Index!$B:$B),"")</f>
        <v>12.25</v>
      </c>
      <c r="G366" s="20"/>
      <c r="H366" s="20"/>
      <c r="I366" s="20"/>
      <c r="P366" s="241"/>
      <c r="T366" s="1"/>
    </row>
    <row r="367" spans="1:20" ht="12.75" customHeight="1" x14ac:dyDescent="0.2">
      <c r="A367" s="26"/>
      <c r="B367" s="26"/>
      <c r="C367" s="35">
        <v>3</v>
      </c>
      <c r="D367" s="35">
        <v>80</v>
      </c>
      <c r="E367" s="35" t="s">
        <v>281</v>
      </c>
      <c r="F367" s="34">
        <f>IFERROR(_xlfn.XLOOKUP(E367,Index!$A:$A,Index!$B:$B),"")</f>
        <v>12.25</v>
      </c>
      <c r="G367" s="20"/>
      <c r="H367" s="20"/>
      <c r="I367" s="20"/>
      <c r="P367" s="241"/>
      <c r="T367" s="1"/>
    </row>
    <row r="368" spans="1:20" ht="12.75" customHeight="1" x14ac:dyDescent="0.2">
      <c r="A368" s="26"/>
      <c r="B368" s="26"/>
      <c r="C368" s="35">
        <v>4</v>
      </c>
      <c r="D368" s="35">
        <v>100</v>
      </c>
      <c r="E368" s="35" t="s">
        <v>282</v>
      </c>
      <c r="F368" s="34">
        <f>IFERROR(_xlfn.XLOOKUP(E368,Index!$A:$A,Index!$B:$B),"")</f>
        <v>12.25</v>
      </c>
      <c r="G368" s="20"/>
      <c r="H368" s="20"/>
      <c r="I368" s="20"/>
      <c r="P368" s="241"/>
      <c r="T368" s="1"/>
    </row>
    <row r="369" spans="1:20" ht="12.75" customHeight="1" x14ac:dyDescent="0.2">
      <c r="A369" s="26"/>
      <c r="B369" s="26"/>
      <c r="C369" s="35">
        <v>5</v>
      </c>
      <c r="D369" s="35">
        <v>125</v>
      </c>
      <c r="E369" s="35" t="s">
        <v>283</v>
      </c>
      <c r="F369" s="34">
        <f>IFERROR(_xlfn.XLOOKUP(E369,Index!$A:$A,Index!$B:$B),"")</f>
        <v>16.5</v>
      </c>
      <c r="G369" s="20"/>
      <c r="H369" s="20"/>
      <c r="I369" s="20"/>
      <c r="P369" s="241"/>
      <c r="T369" s="1"/>
    </row>
    <row r="370" spans="1:20" ht="12.75" customHeight="1" x14ac:dyDescent="0.2">
      <c r="A370" s="26"/>
      <c r="B370" s="26"/>
      <c r="C370" s="35">
        <v>6</v>
      </c>
      <c r="D370" s="35">
        <v>150</v>
      </c>
      <c r="E370" s="35" t="s">
        <v>284</v>
      </c>
      <c r="F370" s="34">
        <f>IFERROR(_xlfn.XLOOKUP(E370,Index!$A:$A,Index!$B:$B),"")</f>
        <v>16.5</v>
      </c>
      <c r="G370" s="20"/>
      <c r="H370" s="20"/>
      <c r="I370" s="20"/>
      <c r="P370" s="241"/>
      <c r="T370" s="1"/>
    </row>
    <row r="371" spans="1:20" ht="12.75" customHeight="1" x14ac:dyDescent="0.2">
      <c r="A371" s="26"/>
      <c r="B371" s="26"/>
      <c r="C371" s="35">
        <v>8</v>
      </c>
      <c r="D371" s="35">
        <v>200</v>
      </c>
      <c r="E371" s="35" t="s">
        <v>285</v>
      </c>
      <c r="F371" s="34">
        <f>IFERROR(_xlfn.XLOOKUP(E371,Index!$A:$A,Index!$B:$B),"")</f>
        <v>20</v>
      </c>
      <c r="G371" s="20"/>
      <c r="H371" s="20"/>
      <c r="I371" s="20"/>
      <c r="P371" s="241"/>
      <c r="T371" s="1"/>
    </row>
    <row r="372" spans="1:20" ht="12.75" customHeight="1" x14ac:dyDescent="0.2">
      <c r="A372" s="26"/>
      <c r="B372" s="26"/>
      <c r="C372" s="35">
        <v>10</v>
      </c>
      <c r="D372" s="35">
        <v>250</v>
      </c>
      <c r="E372" s="35" t="s">
        <v>286</v>
      </c>
      <c r="F372" s="34">
        <f>IFERROR(_xlfn.XLOOKUP(E372,Index!$A:$A,Index!$B:$B),"")</f>
        <v>24</v>
      </c>
      <c r="G372" s="20"/>
      <c r="H372" s="20"/>
      <c r="I372" s="20"/>
      <c r="P372" s="241"/>
      <c r="T372" s="1"/>
    </row>
    <row r="373" spans="1:20" ht="12.75" customHeight="1" x14ac:dyDescent="0.2">
      <c r="A373" s="26"/>
      <c r="B373" s="26"/>
      <c r="C373" s="35">
        <v>12</v>
      </c>
      <c r="D373" s="35">
        <v>300</v>
      </c>
      <c r="E373" s="35" t="s">
        <v>287</v>
      </c>
      <c r="F373" s="34">
        <f>IFERROR(_xlfn.XLOOKUP(E373,Index!$A:$A,Index!$B:$B),"")</f>
        <v>24</v>
      </c>
      <c r="G373" s="20"/>
      <c r="H373" s="20"/>
      <c r="I373" s="20"/>
      <c r="P373" s="241"/>
      <c r="T373" s="1"/>
    </row>
    <row r="374" spans="1:20" ht="12.75" customHeight="1" x14ac:dyDescent="0.2">
      <c r="A374" s="26"/>
      <c r="B374" s="26"/>
      <c r="C374" s="35">
        <v>14</v>
      </c>
      <c r="D374" s="35">
        <v>350</v>
      </c>
      <c r="E374" s="35" t="s">
        <v>288</v>
      </c>
      <c r="F374" s="34">
        <f>IFERROR(_xlfn.XLOOKUP(E374,Index!$A:$A,Index!$B:$B),"")</f>
        <v>38.5</v>
      </c>
      <c r="G374" s="20"/>
      <c r="H374" s="20"/>
      <c r="I374" s="20"/>
      <c r="P374" s="241"/>
      <c r="T374" s="1"/>
    </row>
    <row r="375" spans="1:20" ht="12.75" customHeight="1" x14ac:dyDescent="0.2">
      <c r="A375" s="26"/>
      <c r="B375" s="26"/>
      <c r="C375" s="35">
        <v>16</v>
      </c>
      <c r="D375" s="35">
        <v>400</v>
      </c>
      <c r="E375" s="35" t="s">
        <v>289</v>
      </c>
      <c r="F375" s="34">
        <f>IFERROR(_xlfn.XLOOKUP(E375,Index!$A:$A,Index!$B:$B),"")</f>
        <v>38.5</v>
      </c>
      <c r="G375" s="20"/>
      <c r="H375" s="20"/>
      <c r="I375" s="20"/>
      <c r="P375" s="241"/>
      <c r="T375" s="1"/>
    </row>
    <row r="376" spans="1:20" ht="12.75" customHeight="1" x14ac:dyDescent="0.2">
      <c r="A376" s="26"/>
      <c r="B376" s="26"/>
      <c r="C376" s="35">
        <v>18</v>
      </c>
      <c r="D376" s="35">
        <v>450</v>
      </c>
      <c r="E376" s="35" t="s">
        <v>290</v>
      </c>
      <c r="F376" s="34">
        <f>IFERROR(_xlfn.XLOOKUP(E376,Index!$A:$A,Index!$B:$B),"")</f>
        <v>75</v>
      </c>
      <c r="G376" s="20"/>
      <c r="H376" s="20"/>
      <c r="I376" s="20"/>
      <c r="P376" s="241"/>
      <c r="T376" s="1"/>
    </row>
    <row r="377" spans="1:20" ht="12.75" customHeight="1" x14ac:dyDescent="0.2">
      <c r="A377" s="26"/>
      <c r="B377" s="26"/>
      <c r="C377" s="35">
        <v>20</v>
      </c>
      <c r="D377" s="35">
        <v>500</v>
      </c>
      <c r="E377" s="35" t="s">
        <v>291</v>
      </c>
      <c r="F377" s="34">
        <f>IFERROR(_xlfn.XLOOKUP(E377,Index!$A:$A,Index!$B:$B),"")</f>
        <v>78.75</v>
      </c>
      <c r="G377" s="20"/>
      <c r="H377" s="20"/>
      <c r="I377" s="20"/>
      <c r="P377" s="241"/>
      <c r="T377" s="1"/>
    </row>
    <row r="378" spans="1:20" ht="12.75" customHeight="1" x14ac:dyDescent="0.2">
      <c r="A378" s="26"/>
      <c r="B378" s="27"/>
      <c r="C378" s="35">
        <v>24</v>
      </c>
      <c r="D378" s="35">
        <v>550</v>
      </c>
      <c r="E378" s="35" t="s">
        <v>425</v>
      </c>
      <c r="F378" s="34">
        <f>IFERROR(_xlfn.XLOOKUP(E378,Index!$A:$A,Index!$B:$B),"")</f>
        <v>100</v>
      </c>
      <c r="G378" s="20"/>
      <c r="H378" s="20"/>
      <c r="I378" s="20"/>
      <c r="P378" s="241"/>
      <c r="T378" s="1"/>
    </row>
    <row r="379" spans="1:20" ht="12.75" customHeight="1" x14ac:dyDescent="0.2">
      <c r="A379" s="26"/>
      <c r="B379" s="60" t="s">
        <v>210</v>
      </c>
      <c r="C379" s="61" t="s">
        <v>217</v>
      </c>
      <c r="D379" s="35">
        <v>20</v>
      </c>
      <c r="E379" s="35" t="s">
        <v>292</v>
      </c>
      <c r="F379" s="34">
        <f>IFERROR(_xlfn.XLOOKUP(E379,Index!$A:$A,Index!$B:$B),"")</f>
        <v>63.5</v>
      </c>
      <c r="G379" s="20"/>
      <c r="H379" s="20"/>
      <c r="I379" s="20"/>
      <c r="P379" s="241"/>
      <c r="T379" s="1"/>
    </row>
    <row r="380" spans="1:20" ht="12.75" customHeight="1" x14ac:dyDescent="0.2">
      <c r="A380" s="26"/>
      <c r="B380" s="26"/>
      <c r="C380" s="35">
        <v>1</v>
      </c>
      <c r="D380" s="35">
        <v>25</v>
      </c>
      <c r="E380" s="35" t="s">
        <v>292</v>
      </c>
      <c r="F380" s="34">
        <f>IFERROR(_xlfn.XLOOKUP(E380,Index!$A:$A,Index!$B:$B),"")</f>
        <v>63.5</v>
      </c>
      <c r="G380" s="20"/>
      <c r="H380" s="20"/>
      <c r="I380" s="20"/>
      <c r="P380" s="241"/>
      <c r="T380" s="1"/>
    </row>
    <row r="381" spans="1:20" ht="12.75" customHeight="1" x14ac:dyDescent="0.2">
      <c r="A381" s="26"/>
      <c r="B381" s="26"/>
      <c r="C381" s="35" t="s">
        <v>223</v>
      </c>
      <c r="D381" s="35">
        <v>32</v>
      </c>
      <c r="E381" s="35" t="s">
        <v>293</v>
      </c>
      <c r="F381" s="34">
        <f>IFERROR(_xlfn.XLOOKUP(E381,Index!$A:$A,Index!$B:$B),"")</f>
        <v>80.5</v>
      </c>
      <c r="G381" s="20"/>
      <c r="H381" s="20"/>
      <c r="I381" s="20"/>
      <c r="P381" s="241"/>
      <c r="T381" s="1"/>
    </row>
    <row r="382" spans="1:20" ht="12.75" customHeight="1" x14ac:dyDescent="0.2">
      <c r="A382" s="26"/>
      <c r="B382" s="26"/>
      <c r="C382" s="35" t="s">
        <v>225</v>
      </c>
      <c r="D382" s="35">
        <v>40</v>
      </c>
      <c r="E382" s="35" t="s">
        <v>293</v>
      </c>
      <c r="F382" s="34">
        <f>IFERROR(_xlfn.XLOOKUP(E382,Index!$A:$A,Index!$B:$B),"")</f>
        <v>80.5</v>
      </c>
      <c r="G382" s="20"/>
      <c r="H382" s="20"/>
      <c r="I382" s="20"/>
      <c r="P382" s="241"/>
      <c r="T382" s="1"/>
    </row>
    <row r="383" spans="1:20" ht="12.75" customHeight="1" x14ac:dyDescent="0.2">
      <c r="A383" s="26"/>
      <c r="B383" s="26"/>
      <c r="C383" s="35">
        <v>2</v>
      </c>
      <c r="D383" s="35">
        <v>50</v>
      </c>
      <c r="E383" s="35" t="s">
        <v>294</v>
      </c>
      <c r="F383" s="34">
        <f>IFERROR(_xlfn.XLOOKUP(E383,Index!$A:$A,Index!$B:$B),"")</f>
        <v>88.5</v>
      </c>
      <c r="G383" s="20"/>
      <c r="H383" s="20"/>
      <c r="I383" s="20"/>
      <c r="P383" s="241"/>
      <c r="T383" s="1"/>
    </row>
    <row r="384" spans="1:20" ht="12.75" customHeight="1" x14ac:dyDescent="0.2">
      <c r="A384" s="26"/>
      <c r="B384" s="26"/>
      <c r="C384" s="35" t="s">
        <v>231</v>
      </c>
      <c r="D384" s="35">
        <v>65</v>
      </c>
      <c r="E384" s="35" t="s">
        <v>295</v>
      </c>
      <c r="F384" s="34">
        <f>IFERROR(_xlfn.XLOOKUP(E384,Index!$A:$A,Index!$B:$B),"")</f>
        <v>93.5</v>
      </c>
      <c r="G384" s="20"/>
      <c r="H384" s="20"/>
      <c r="I384" s="20"/>
      <c r="P384" s="241"/>
      <c r="T384" s="1"/>
    </row>
    <row r="385" spans="1:20" ht="12.75" customHeight="1" x14ac:dyDescent="0.2">
      <c r="A385" s="26"/>
      <c r="B385" s="26"/>
      <c r="C385" s="35">
        <v>3</v>
      </c>
      <c r="D385" s="35">
        <v>80</v>
      </c>
      <c r="E385" s="35" t="s">
        <v>296</v>
      </c>
      <c r="F385" s="34">
        <f>IFERROR(_xlfn.XLOOKUP(E385,Index!$A:$A,Index!$B:$B),"")</f>
        <v>124.5</v>
      </c>
      <c r="G385" s="20"/>
      <c r="H385" s="20"/>
      <c r="I385" s="20"/>
      <c r="P385" s="241"/>
      <c r="T385" s="1"/>
    </row>
    <row r="386" spans="1:20" ht="12.75" customHeight="1" x14ac:dyDescent="0.2">
      <c r="A386" s="26"/>
      <c r="B386" s="26"/>
      <c r="C386" s="35">
        <v>4</v>
      </c>
      <c r="D386" s="35">
        <v>100</v>
      </c>
      <c r="E386" s="35" t="s">
        <v>297</v>
      </c>
      <c r="F386" s="34">
        <f>IFERROR(_xlfn.XLOOKUP(E386,Index!$A:$A,Index!$B:$B),"")</f>
        <v>133.5</v>
      </c>
      <c r="G386" s="20"/>
      <c r="H386" s="20"/>
      <c r="I386" s="20"/>
      <c r="P386" s="241"/>
      <c r="T386" s="1"/>
    </row>
    <row r="387" spans="1:20" ht="12.75" customHeight="1" x14ac:dyDescent="0.2">
      <c r="A387" s="26"/>
      <c r="B387" s="60" t="s">
        <v>298</v>
      </c>
      <c r="C387" s="35">
        <v>5</v>
      </c>
      <c r="D387" s="35">
        <v>125</v>
      </c>
      <c r="E387" s="35" t="s">
        <v>299</v>
      </c>
      <c r="F387" s="34">
        <f>IFERROR(_xlfn.XLOOKUP(E387,Index!$A:$A,Index!$B:$B),"")</f>
        <v>225</v>
      </c>
      <c r="G387" s="20"/>
      <c r="H387" s="20"/>
      <c r="I387" s="20"/>
      <c r="P387" s="241"/>
      <c r="T387" s="1"/>
    </row>
    <row r="388" spans="1:20" ht="12.75" customHeight="1" x14ac:dyDescent="0.2">
      <c r="A388" s="26"/>
      <c r="B388" s="26"/>
      <c r="C388" s="35">
        <v>6</v>
      </c>
      <c r="D388" s="35">
        <v>150</v>
      </c>
      <c r="E388" s="35" t="s">
        <v>300</v>
      </c>
      <c r="F388" s="34">
        <f>IFERROR(_xlfn.XLOOKUP(E388,Index!$A:$A,Index!$B:$B),"")</f>
        <v>296.5</v>
      </c>
      <c r="G388" s="20"/>
      <c r="H388" s="20"/>
      <c r="I388" s="20"/>
      <c r="P388" s="241"/>
      <c r="T388" s="1"/>
    </row>
    <row r="389" spans="1:20" ht="12.75" customHeight="1" x14ac:dyDescent="0.2">
      <c r="A389" s="26"/>
      <c r="B389" s="26"/>
      <c r="C389" s="35">
        <v>8</v>
      </c>
      <c r="D389" s="35">
        <v>200</v>
      </c>
      <c r="E389" s="35" t="s">
        <v>301</v>
      </c>
      <c r="F389" s="34">
        <f>IFERROR(_xlfn.XLOOKUP(E389,Index!$A:$A,Index!$B:$B),"")</f>
        <v>516</v>
      </c>
      <c r="G389" s="20"/>
      <c r="H389" s="20"/>
      <c r="I389" s="20"/>
      <c r="P389" s="241"/>
      <c r="T389" s="1"/>
    </row>
    <row r="390" spans="1:20" ht="12.75" customHeight="1" x14ac:dyDescent="0.2">
      <c r="A390" s="26"/>
      <c r="B390" s="26"/>
      <c r="C390" s="35">
        <v>10</v>
      </c>
      <c r="D390" s="35">
        <v>250</v>
      </c>
      <c r="E390" s="35" t="s">
        <v>302</v>
      </c>
      <c r="F390" s="34">
        <f>IFERROR(_xlfn.XLOOKUP(E390,Index!$A:$A,Index!$B:$B),"")</f>
        <v>707</v>
      </c>
      <c r="G390" s="20"/>
      <c r="H390" s="20"/>
      <c r="I390" s="20"/>
      <c r="P390" s="241"/>
      <c r="T390" s="1"/>
    </row>
    <row r="391" spans="1:20" ht="12.75" customHeight="1" x14ac:dyDescent="0.2">
      <c r="A391" s="26"/>
      <c r="B391" s="26"/>
      <c r="C391" s="35">
        <v>12</v>
      </c>
      <c r="D391" s="35">
        <v>300</v>
      </c>
      <c r="E391" s="35" t="s">
        <v>6339</v>
      </c>
      <c r="F391" s="34">
        <f>IFERROR(_xlfn.XLOOKUP(E391,Index!$A:$A,Index!$B:$B),"")</f>
        <v>889.5</v>
      </c>
      <c r="G391" s="20"/>
      <c r="H391" s="20"/>
      <c r="I391" s="20"/>
      <c r="P391" s="241"/>
      <c r="T391" s="1"/>
    </row>
    <row r="392" spans="1:20" ht="12.75" customHeight="1" x14ac:dyDescent="0.2">
      <c r="A392" s="26"/>
      <c r="B392" s="26"/>
      <c r="C392" s="35">
        <v>14</v>
      </c>
      <c r="D392" s="35">
        <v>350</v>
      </c>
      <c r="E392" s="35" t="s">
        <v>6338</v>
      </c>
      <c r="F392" s="34">
        <f>IFERROR(_xlfn.XLOOKUP(E392,Index!$A:$A,Index!$B:$B),"")</f>
        <v>889.5</v>
      </c>
      <c r="G392" s="20"/>
      <c r="H392" s="20"/>
      <c r="I392" s="20"/>
      <c r="P392" s="241"/>
      <c r="T392" s="1"/>
    </row>
    <row r="393" spans="1:20" ht="12.75" customHeight="1" x14ac:dyDescent="0.2">
      <c r="A393" s="26"/>
      <c r="B393" s="26"/>
      <c r="C393" s="35">
        <v>16</v>
      </c>
      <c r="D393" s="35">
        <v>400</v>
      </c>
      <c r="E393" s="35" t="s">
        <v>303</v>
      </c>
      <c r="F393" s="34">
        <f>IFERROR(_xlfn.XLOOKUP(E393,Index!$A:$A,Index!$B:$B),"")</f>
        <v>1485</v>
      </c>
      <c r="G393" s="20"/>
      <c r="H393" s="20"/>
      <c r="I393" s="20"/>
      <c r="P393" s="241"/>
      <c r="T393" s="1"/>
    </row>
    <row r="394" spans="1:20" ht="12.75" customHeight="1" x14ac:dyDescent="0.2">
      <c r="A394" s="26"/>
      <c r="B394" s="26"/>
      <c r="C394" s="35">
        <v>18</v>
      </c>
      <c r="D394" s="35">
        <v>450</v>
      </c>
      <c r="E394" s="35" t="s">
        <v>304</v>
      </c>
      <c r="F394" s="34">
        <f>IFERROR(_xlfn.XLOOKUP(E394,Index!$A:$A,Index!$B:$B),"")</f>
        <v>3938</v>
      </c>
      <c r="G394" s="20"/>
      <c r="H394" s="20"/>
      <c r="I394" s="20"/>
      <c r="P394" s="241"/>
      <c r="T394" s="1"/>
    </row>
    <row r="395" spans="1:20" ht="12.75" customHeight="1" x14ac:dyDescent="0.2">
      <c r="A395" s="26"/>
      <c r="B395" s="26"/>
      <c r="C395" s="35">
        <v>20</v>
      </c>
      <c r="D395" s="35">
        <v>500</v>
      </c>
      <c r="E395" s="35" t="s">
        <v>305</v>
      </c>
      <c r="F395" s="34">
        <f>IFERROR(_xlfn.XLOOKUP(E395,Index!$A:$A,Index!$B:$B),"")</f>
        <v>5594</v>
      </c>
      <c r="G395" s="20"/>
      <c r="H395" s="20"/>
      <c r="I395" s="20"/>
      <c r="P395" s="241"/>
      <c r="T395" s="1"/>
    </row>
    <row r="396" spans="1:20" ht="12.75" customHeight="1" x14ac:dyDescent="0.2">
      <c r="A396" s="26"/>
      <c r="B396" s="26"/>
      <c r="C396" s="89">
        <v>24</v>
      </c>
      <c r="D396" s="89">
        <v>550</v>
      </c>
      <c r="E396" s="89" t="s">
        <v>306</v>
      </c>
      <c r="F396" s="34">
        <f>IFERROR(_xlfn.XLOOKUP(E396,Index!$A:$A,Index!$B:$B),"")</f>
        <v>7737</v>
      </c>
      <c r="G396" s="20"/>
      <c r="H396" s="20"/>
      <c r="I396" s="20"/>
      <c r="P396" s="241"/>
      <c r="T396" s="1"/>
    </row>
    <row r="397" spans="1:20" ht="12.75" customHeight="1" x14ac:dyDescent="0.2">
      <c r="A397" s="26"/>
      <c r="B397" s="60" t="s">
        <v>211</v>
      </c>
      <c r="C397" s="61" t="s">
        <v>217</v>
      </c>
      <c r="D397" s="35">
        <v>20</v>
      </c>
      <c r="E397" s="35" t="s">
        <v>440</v>
      </c>
      <c r="F397" s="34">
        <f>IFERROR(_xlfn.XLOOKUP(E397,Index!$A:$A,Index!$B:$B),"")</f>
        <v>83.25</v>
      </c>
      <c r="G397" s="20"/>
      <c r="H397" s="20"/>
      <c r="I397" s="20"/>
      <c r="P397" s="241"/>
      <c r="T397" s="1"/>
    </row>
    <row r="398" spans="1:20" ht="12.75" customHeight="1" x14ac:dyDescent="0.2">
      <c r="A398" s="26"/>
      <c r="B398" s="26"/>
      <c r="C398" s="35">
        <v>1</v>
      </c>
      <c r="D398" s="35">
        <v>25</v>
      </c>
      <c r="E398" s="35" t="s">
        <v>440</v>
      </c>
      <c r="F398" s="34">
        <f>IFERROR(_xlfn.XLOOKUP(E398,Index!$A:$A,Index!$B:$B),"")</f>
        <v>83.25</v>
      </c>
      <c r="G398" s="20"/>
      <c r="H398" s="20"/>
      <c r="I398" s="20"/>
      <c r="P398" s="241"/>
      <c r="T398" s="1"/>
    </row>
    <row r="399" spans="1:20" ht="12.75" customHeight="1" x14ac:dyDescent="0.2">
      <c r="A399" s="26"/>
      <c r="B399" s="26"/>
      <c r="C399" s="35" t="s">
        <v>223</v>
      </c>
      <c r="D399" s="35">
        <v>32</v>
      </c>
      <c r="E399" s="35" t="s">
        <v>441</v>
      </c>
      <c r="F399" s="34">
        <f>IFERROR(_xlfn.XLOOKUP(E399,Index!$A:$A,Index!$B:$B),"")</f>
        <v>92</v>
      </c>
      <c r="G399" s="20"/>
      <c r="H399" s="20"/>
      <c r="I399" s="20"/>
      <c r="P399" s="241"/>
      <c r="T399" s="1"/>
    </row>
    <row r="400" spans="1:20" ht="12.75" customHeight="1" x14ac:dyDescent="0.2">
      <c r="A400" s="26"/>
      <c r="B400" s="26"/>
      <c r="C400" s="35" t="s">
        <v>225</v>
      </c>
      <c r="D400" s="35">
        <v>40</v>
      </c>
      <c r="E400" s="35" t="s">
        <v>441</v>
      </c>
      <c r="F400" s="34">
        <f>IFERROR(_xlfn.XLOOKUP(E400,Index!$A:$A,Index!$B:$B),"")</f>
        <v>92</v>
      </c>
      <c r="G400" s="20"/>
      <c r="H400" s="20"/>
      <c r="I400" s="20"/>
      <c r="P400" s="241"/>
      <c r="T400" s="1"/>
    </row>
    <row r="401" spans="1:20" ht="12.75" customHeight="1" x14ac:dyDescent="0.2">
      <c r="A401" s="26"/>
      <c r="B401" s="26"/>
      <c r="C401" s="35">
        <v>2</v>
      </c>
      <c r="D401" s="35">
        <v>50</v>
      </c>
      <c r="E401" s="35" t="s">
        <v>307</v>
      </c>
      <c r="F401" s="34">
        <f>IFERROR(_xlfn.XLOOKUP(E401,Index!$A:$A,Index!$B:$B),"")</f>
        <v>92</v>
      </c>
      <c r="G401" s="20"/>
      <c r="H401" s="20"/>
      <c r="I401" s="20"/>
      <c r="P401" s="241"/>
      <c r="T401" s="1"/>
    </row>
    <row r="402" spans="1:20" ht="12.75" customHeight="1" x14ac:dyDescent="0.2">
      <c r="A402" s="26"/>
      <c r="B402" s="26"/>
      <c r="C402" s="35" t="s">
        <v>231</v>
      </c>
      <c r="D402" s="35">
        <v>65</v>
      </c>
      <c r="E402" s="35" t="s">
        <v>308</v>
      </c>
      <c r="F402" s="34">
        <f>IFERROR(_xlfn.XLOOKUP(E402,Index!$A:$A,Index!$B:$B),"")</f>
        <v>108.5</v>
      </c>
      <c r="G402" s="20"/>
      <c r="H402" s="20"/>
      <c r="I402" s="20"/>
      <c r="P402" s="241"/>
      <c r="T402" s="1"/>
    </row>
    <row r="403" spans="1:20" ht="12.75" customHeight="1" x14ac:dyDescent="0.2">
      <c r="A403" s="26"/>
      <c r="B403" s="26"/>
      <c r="C403" s="35">
        <v>3</v>
      </c>
      <c r="D403" s="35">
        <v>80</v>
      </c>
      <c r="E403" s="35" t="s">
        <v>309</v>
      </c>
      <c r="F403" s="34">
        <f>IFERROR(_xlfn.XLOOKUP(E403,Index!$A:$A,Index!$B:$B),"")</f>
        <v>125</v>
      </c>
      <c r="G403" s="20"/>
      <c r="H403" s="20"/>
      <c r="I403" s="20"/>
      <c r="P403" s="241"/>
      <c r="T403" s="1"/>
    </row>
    <row r="404" spans="1:20" ht="12.75" customHeight="1" x14ac:dyDescent="0.2">
      <c r="A404" s="26"/>
      <c r="B404" s="26"/>
      <c r="C404" s="35">
        <v>4</v>
      </c>
      <c r="D404" s="35">
        <v>100</v>
      </c>
      <c r="E404" s="35" t="s">
        <v>310</v>
      </c>
      <c r="F404" s="34">
        <f>IFERROR(_xlfn.XLOOKUP(E404,Index!$A:$A,Index!$B:$B),"")</f>
        <v>204</v>
      </c>
      <c r="G404" s="20"/>
      <c r="H404" s="20"/>
      <c r="I404" s="20"/>
      <c r="P404" s="241"/>
      <c r="T404" s="1"/>
    </row>
    <row r="405" spans="1:20" ht="12.75" customHeight="1" x14ac:dyDescent="0.2">
      <c r="A405" s="26"/>
      <c r="B405" s="26"/>
      <c r="C405" s="35">
        <v>5</v>
      </c>
      <c r="D405" s="35">
        <v>125</v>
      </c>
      <c r="E405" s="35" t="s">
        <v>311</v>
      </c>
      <c r="F405" s="34">
        <f>IFERROR(_xlfn.XLOOKUP(E405,Index!$A:$A,Index!$B:$B),"")</f>
        <v>316</v>
      </c>
      <c r="G405" s="20"/>
      <c r="H405" s="20"/>
      <c r="I405" s="20"/>
      <c r="P405" s="241"/>
      <c r="T405" s="1"/>
    </row>
    <row r="406" spans="1:20" ht="12.75" customHeight="1" x14ac:dyDescent="0.2">
      <c r="A406" s="26"/>
      <c r="B406" s="26"/>
      <c r="C406" s="35">
        <v>6</v>
      </c>
      <c r="D406" s="35">
        <v>150</v>
      </c>
      <c r="E406" s="35" t="s">
        <v>312</v>
      </c>
      <c r="F406" s="34">
        <f>IFERROR(_xlfn.XLOOKUP(E406,Index!$A:$A,Index!$B:$B),"")</f>
        <v>394.5</v>
      </c>
      <c r="G406" s="20"/>
      <c r="H406" s="20"/>
      <c r="I406" s="20"/>
      <c r="P406" s="241"/>
      <c r="T406" s="1"/>
    </row>
    <row r="407" spans="1:20" ht="12.75" customHeight="1" x14ac:dyDescent="0.2">
      <c r="A407" s="26"/>
      <c r="B407" s="26"/>
      <c r="C407" s="35">
        <v>8</v>
      </c>
      <c r="D407" s="35">
        <v>200</v>
      </c>
      <c r="E407" s="35" t="s">
        <v>313</v>
      </c>
      <c r="F407" s="34">
        <f>IFERROR(_xlfn.XLOOKUP(E407,Index!$A:$A,Index!$B:$B),"")</f>
        <v>1246</v>
      </c>
      <c r="G407" s="20"/>
      <c r="H407" s="20"/>
      <c r="I407" s="20"/>
      <c r="P407" s="241"/>
      <c r="T407" s="1"/>
    </row>
    <row r="408" spans="1:20" ht="12.75" customHeight="1" x14ac:dyDescent="0.2">
      <c r="A408" s="26"/>
      <c r="B408" s="26"/>
      <c r="C408" s="35">
        <v>10</v>
      </c>
      <c r="D408" s="35">
        <v>250</v>
      </c>
      <c r="E408" s="35" t="s">
        <v>314</v>
      </c>
      <c r="F408" s="34">
        <f>IFERROR(_xlfn.XLOOKUP(E408,Index!$A:$A,Index!$B:$B),"")</f>
        <v>2084</v>
      </c>
      <c r="G408" s="20"/>
      <c r="H408" s="20"/>
      <c r="I408" s="20"/>
      <c r="P408" s="241"/>
      <c r="T408" s="1"/>
    </row>
    <row r="409" spans="1:20" ht="12.75" customHeight="1" x14ac:dyDescent="0.2">
      <c r="A409" s="26"/>
      <c r="B409" s="26"/>
      <c r="C409" s="35">
        <v>12</v>
      </c>
      <c r="D409" s="35">
        <v>300</v>
      </c>
      <c r="E409" s="35" t="s">
        <v>315</v>
      </c>
      <c r="F409" s="34">
        <f>IFERROR(_xlfn.XLOOKUP(E409,Index!$A:$A,Index!$B:$B),"")</f>
        <v>1943</v>
      </c>
      <c r="G409" s="20"/>
      <c r="H409" s="20"/>
      <c r="I409" s="20"/>
      <c r="P409" s="241"/>
      <c r="T409" s="1"/>
    </row>
    <row r="410" spans="1:20" ht="12.75" customHeight="1" x14ac:dyDescent="0.2">
      <c r="A410" s="26"/>
      <c r="B410" s="26"/>
      <c r="C410" s="35">
        <v>14</v>
      </c>
      <c r="D410" s="35">
        <v>350</v>
      </c>
      <c r="E410" s="35" t="s">
        <v>316</v>
      </c>
      <c r="F410" s="34">
        <f>IFERROR(_xlfn.XLOOKUP(E410,Index!$A:$A,Index!$B:$B),"")</f>
        <v>3150</v>
      </c>
      <c r="G410" s="20"/>
      <c r="H410" s="20"/>
      <c r="I410" s="20"/>
      <c r="P410" s="241"/>
      <c r="T410" s="1"/>
    </row>
    <row r="411" spans="1:20" ht="12.75" customHeight="1" x14ac:dyDescent="0.2">
      <c r="A411" s="26"/>
      <c r="B411" s="26"/>
      <c r="C411" s="35">
        <v>16</v>
      </c>
      <c r="D411" s="35">
        <v>400</v>
      </c>
      <c r="E411" s="35" t="s">
        <v>317</v>
      </c>
      <c r="F411" s="34">
        <f>IFERROR(_xlfn.XLOOKUP(E411,Index!$A:$A,Index!$B:$B),"")</f>
        <v>4435</v>
      </c>
      <c r="G411" s="20"/>
      <c r="H411" s="20"/>
      <c r="I411" s="20"/>
      <c r="P411" s="241"/>
      <c r="T411" s="1"/>
    </row>
    <row r="412" spans="1:20" ht="12.75" customHeight="1" x14ac:dyDescent="0.2">
      <c r="A412" s="26"/>
      <c r="B412" s="26"/>
      <c r="C412" s="35">
        <v>18</v>
      </c>
      <c r="D412" s="35">
        <v>450</v>
      </c>
      <c r="E412" s="35" t="s">
        <v>318</v>
      </c>
      <c r="F412" s="34">
        <f>IFERROR(_xlfn.XLOOKUP(E412,Index!$A:$A,Index!$B:$B),"")</f>
        <v>6303</v>
      </c>
      <c r="G412" s="20"/>
      <c r="H412" s="20"/>
      <c r="I412" s="20"/>
      <c r="P412" s="241"/>
      <c r="T412" s="1"/>
    </row>
    <row r="413" spans="1:20" ht="12.75" customHeight="1" x14ac:dyDescent="0.2">
      <c r="A413" s="26"/>
      <c r="B413" s="26"/>
      <c r="C413" s="35">
        <v>20</v>
      </c>
      <c r="D413" s="35">
        <v>500</v>
      </c>
      <c r="E413" s="38" t="s">
        <v>5542</v>
      </c>
      <c r="F413" s="34">
        <f>F412+214</f>
        <v>6517</v>
      </c>
      <c r="G413" s="20"/>
      <c r="H413" s="20"/>
      <c r="I413" s="20"/>
      <c r="P413" s="241"/>
      <c r="T413" s="1"/>
    </row>
    <row r="414" spans="1:20" ht="12.75" customHeight="1" x14ac:dyDescent="0.2">
      <c r="A414" s="26"/>
      <c r="B414" s="27"/>
      <c r="C414" s="35">
        <v>24</v>
      </c>
      <c r="D414" s="35">
        <v>550</v>
      </c>
      <c r="E414" s="35" t="s">
        <v>2858</v>
      </c>
      <c r="F414" s="34">
        <f>IFERROR(_xlfn.XLOOKUP(E414,Index!$A:$A,Index!$B:$B),"")</f>
        <v>8453</v>
      </c>
      <c r="G414" s="20"/>
      <c r="H414" s="20"/>
      <c r="I414" s="20"/>
      <c r="P414" s="241"/>
      <c r="T414" s="1"/>
    </row>
    <row r="415" spans="1:20" ht="12.75" customHeight="1" x14ac:dyDescent="0.2">
      <c r="A415" s="26"/>
      <c r="B415" s="60" t="s">
        <v>122</v>
      </c>
      <c r="C415" s="61" t="s">
        <v>217</v>
      </c>
      <c r="D415" s="35">
        <v>20</v>
      </c>
      <c r="E415" s="35" t="s">
        <v>319</v>
      </c>
      <c r="F415" s="34">
        <f>IFERROR(_xlfn.XLOOKUP(E415,Index!$A:$A,Index!$B:$B),"")</f>
        <v>442.5</v>
      </c>
      <c r="G415" s="20"/>
      <c r="H415" s="20"/>
      <c r="I415" s="20"/>
      <c r="P415" s="241"/>
      <c r="T415" s="1"/>
    </row>
    <row r="416" spans="1:20" ht="12.75" customHeight="1" x14ac:dyDescent="0.2">
      <c r="A416" s="26"/>
      <c r="B416" s="26"/>
      <c r="C416" s="35">
        <v>1</v>
      </c>
      <c r="D416" s="35">
        <v>25</v>
      </c>
      <c r="E416" s="35" t="s">
        <v>319</v>
      </c>
      <c r="F416" s="34">
        <f>IFERROR(_xlfn.XLOOKUP(E416,Index!$A:$A,Index!$B:$B),"")</f>
        <v>442.5</v>
      </c>
      <c r="G416" s="20"/>
      <c r="H416" s="20"/>
      <c r="I416" s="20"/>
      <c r="P416" s="241"/>
      <c r="T416" s="1"/>
    </row>
    <row r="417" spans="1:20" ht="12.75" customHeight="1" x14ac:dyDescent="0.2">
      <c r="A417" s="26"/>
      <c r="B417" s="26"/>
      <c r="C417" s="35" t="s">
        <v>223</v>
      </c>
      <c r="D417" s="35">
        <v>32</v>
      </c>
      <c r="E417" s="35" t="s">
        <v>320</v>
      </c>
      <c r="F417" s="34">
        <f>IFERROR(_xlfn.XLOOKUP(E417,Index!$A:$A,Index!$B:$B),"")</f>
        <v>442.5</v>
      </c>
      <c r="G417" s="20"/>
      <c r="H417" s="20"/>
      <c r="I417" s="20"/>
      <c r="P417" s="241"/>
      <c r="T417" s="1"/>
    </row>
    <row r="418" spans="1:20" ht="12.75" customHeight="1" x14ac:dyDescent="0.2">
      <c r="A418" s="26"/>
      <c r="B418" s="26"/>
      <c r="C418" s="35" t="s">
        <v>225</v>
      </c>
      <c r="D418" s="35">
        <v>40</v>
      </c>
      <c r="E418" s="35" t="s">
        <v>320</v>
      </c>
      <c r="F418" s="34">
        <f>IFERROR(_xlfn.XLOOKUP(E418,Index!$A:$A,Index!$B:$B),"")</f>
        <v>442.5</v>
      </c>
      <c r="G418" s="20"/>
      <c r="H418" s="20"/>
      <c r="I418" s="20"/>
      <c r="P418" s="241"/>
      <c r="T418" s="1"/>
    </row>
    <row r="419" spans="1:20" ht="12.75" customHeight="1" x14ac:dyDescent="0.2">
      <c r="A419" s="26"/>
      <c r="B419" s="26"/>
      <c r="C419" s="35">
        <v>2</v>
      </c>
      <c r="D419" s="35">
        <v>50</v>
      </c>
      <c r="E419" s="35" t="s">
        <v>321</v>
      </c>
      <c r="F419" s="34">
        <f>IFERROR(_xlfn.XLOOKUP(E419,Index!$A:$A,Index!$B:$B),"")</f>
        <v>92</v>
      </c>
      <c r="G419" s="20"/>
      <c r="H419" s="20"/>
      <c r="I419" s="20"/>
      <c r="P419" s="241"/>
      <c r="T419" s="1"/>
    </row>
    <row r="420" spans="1:20" ht="12.75" customHeight="1" x14ac:dyDescent="0.2">
      <c r="A420" s="26"/>
      <c r="B420" s="26"/>
      <c r="C420" s="35" t="s">
        <v>231</v>
      </c>
      <c r="D420" s="35">
        <v>65</v>
      </c>
      <c r="E420" s="35" t="s">
        <v>322</v>
      </c>
      <c r="F420" s="34">
        <f>IFERROR(_xlfn.XLOOKUP(E420,Index!$A:$A,Index!$B:$B),"")</f>
        <v>108.5</v>
      </c>
      <c r="G420" s="20"/>
      <c r="H420" s="20"/>
      <c r="I420" s="20"/>
      <c r="P420" s="241"/>
      <c r="T420" s="1"/>
    </row>
    <row r="421" spans="1:20" ht="12.75" customHeight="1" x14ac:dyDescent="0.2">
      <c r="A421" s="26"/>
      <c r="B421" s="26"/>
      <c r="C421" s="35">
        <v>3</v>
      </c>
      <c r="D421" s="35">
        <v>80</v>
      </c>
      <c r="E421" s="35" t="s">
        <v>323</v>
      </c>
      <c r="F421" s="34">
        <f>IFERROR(_xlfn.XLOOKUP(E421,Index!$A:$A,Index!$B:$B),"")</f>
        <v>125</v>
      </c>
      <c r="G421" s="20"/>
      <c r="H421" s="20"/>
      <c r="I421" s="20"/>
      <c r="P421" s="241"/>
      <c r="T421" s="1"/>
    </row>
    <row r="422" spans="1:20" ht="12.75" customHeight="1" x14ac:dyDescent="0.2">
      <c r="A422" s="26"/>
      <c r="B422" s="26"/>
      <c r="C422" s="35">
        <v>4</v>
      </c>
      <c r="D422" s="35">
        <v>100</v>
      </c>
      <c r="E422" s="35" t="s">
        <v>324</v>
      </c>
      <c r="F422" s="34">
        <f>IFERROR(_xlfn.XLOOKUP(E422,Index!$A:$A,Index!$B:$B),"")</f>
        <v>204</v>
      </c>
      <c r="G422" s="20"/>
      <c r="H422" s="20"/>
      <c r="I422" s="20"/>
      <c r="P422" s="241"/>
      <c r="T422" s="1"/>
    </row>
    <row r="423" spans="1:20" ht="12.75" customHeight="1" x14ac:dyDescent="0.2">
      <c r="A423" s="26"/>
      <c r="B423" s="26"/>
      <c r="C423" s="35">
        <v>5</v>
      </c>
      <c r="D423" s="35">
        <v>125</v>
      </c>
      <c r="E423" s="35" t="s">
        <v>325</v>
      </c>
      <c r="F423" s="34">
        <f>IFERROR(_xlfn.XLOOKUP(E423,Index!$A:$A,Index!$B:$B),"")</f>
        <v>316</v>
      </c>
      <c r="G423" s="20"/>
      <c r="H423" s="20"/>
      <c r="I423" s="20"/>
      <c r="P423" s="241"/>
      <c r="T423" s="1"/>
    </row>
    <row r="424" spans="1:20" ht="12.75" customHeight="1" x14ac:dyDescent="0.2">
      <c r="A424" s="26"/>
      <c r="B424" s="26"/>
      <c r="C424" s="35">
        <v>6</v>
      </c>
      <c r="D424" s="35">
        <v>150</v>
      </c>
      <c r="E424" s="35" t="s">
        <v>326</v>
      </c>
      <c r="F424" s="34">
        <f>IFERROR(_xlfn.XLOOKUP(E424,Index!$A:$A,Index!$B:$B),"")</f>
        <v>394.5</v>
      </c>
      <c r="G424" s="20"/>
      <c r="H424" s="20"/>
      <c r="I424" s="20"/>
      <c r="P424" s="241"/>
      <c r="T424" s="1"/>
    </row>
    <row r="425" spans="1:20" ht="12.75" customHeight="1" x14ac:dyDescent="0.2">
      <c r="A425" s="26"/>
      <c r="B425" s="26"/>
      <c r="C425" s="35">
        <v>8</v>
      </c>
      <c r="D425" s="35">
        <v>200</v>
      </c>
      <c r="E425" s="35" t="s">
        <v>327</v>
      </c>
      <c r="F425" s="34">
        <f>IFERROR(_xlfn.XLOOKUP(E425,Index!$A:$A,Index!$B:$B),"")</f>
        <v>1246</v>
      </c>
      <c r="G425" s="20"/>
      <c r="H425" s="20"/>
      <c r="I425" s="20"/>
      <c r="P425" s="241"/>
      <c r="T425" s="1"/>
    </row>
    <row r="426" spans="1:20" ht="12.75" customHeight="1" x14ac:dyDescent="0.2">
      <c r="A426" s="26"/>
      <c r="B426" s="26"/>
      <c r="C426" s="35">
        <v>10</v>
      </c>
      <c r="D426" s="35">
        <v>250</v>
      </c>
      <c r="E426" s="35" t="s">
        <v>328</v>
      </c>
      <c r="F426" s="34">
        <f>IFERROR(_xlfn.XLOOKUP(E426,Index!$A:$A,Index!$B:$B),"")</f>
        <v>2084</v>
      </c>
      <c r="G426" s="20"/>
      <c r="H426" s="20"/>
      <c r="I426" s="20"/>
      <c r="P426" s="241"/>
      <c r="T426" s="1"/>
    </row>
    <row r="427" spans="1:20" ht="12.75" customHeight="1" x14ac:dyDescent="0.2">
      <c r="A427" s="26"/>
      <c r="B427" s="26"/>
      <c r="C427" s="35">
        <v>12</v>
      </c>
      <c r="D427" s="35">
        <v>300</v>
      </c>
      <c r="E427" s="35" t="s">
        <v>329</v>
      </c>
      <c r="F427" s="34">
        <f>IFERROR(_xlfn.XLOOKUP(E427,Index!$A:$A,Index!$B:$B),"")</f>
        <v>1943</v>
      </c>
      <c r="G427" s="20"/>
      <c r="H427" s="20"/>
      <c r="I427" s="20"/>
      <c r="P427" s="241"/>
      <c r="T427" s="1"/>
    </row>
    <row r="428" spans="1:20" ht="12.75" customHeight="1" x14ac:dyDescent="0.2">
      <c r="A428" s="26"/>
      <c r="B428" s="26"/>
      <c r="C428" s="35">
        <v>14</v>
      </c>
      <c r="D428" s="35">
        <v>350</v>
      </c>
      <c r="E428" s="35" t="s">
        <v>330</v>
      </c>
      <c r="F428" s="34">
        <f>IFERROR(_xlfn.XLOOKUP(E428,Index!$A:$A,Index!$B:$B),"")</f>
        <v>3150</v>
      </c>
      <c r="G428" s="20"/>
      <c r="H428" s="20"/>
      <c r="I428" s="20"/>
      <c r="P428" s="241"/>
      <c r="T428" s="1"/>
    </row>
    <row r="429" spans="1:20" ht="12.75" customHeight="1" x14ac:dyDescent="0.2">
      <c r="A429" s="26"/>
      <c r="B429" s="26"/>
      <c r="C429" s="35">
        <v>16</v>
      </c>
      <c r="D429" s="35">
        <v>400</v>
      </c>
      <c r="E429" s="35" t="s">
        <v>2852</v>
      </c>
      <c r="F429" s="34">
        <f>IFERROR(_xlfn.XLOOKUP(E429,Index!$A:$A,Index!$B:$B),"")</f>
        <v>4435</v>
      </c>
      <c r="G429" s="20"/>
      <c r="H429" s="20"/>
      <c r="I429" s="20"/>
      <c r="P429" s="241"/>
      <c r="T429" s="1"/>
    </row>
    <row r="430" spans="1:20" ht="12.75" customHeight="1" x14ac:dyDescent="0.2">
      <c r="A430" s="26"/>
      <c r="B430" s="26"/>
      <c r="C430" s="35">
        <v>18</v>
      </c>
      <c r="D430" s="35">
        <v>450</v>
      </c>
      <c r="E430" s="35" t="s">
        <v>331</v>
      </c>
      <c r="F430" s="34">
        <f>IFERROR(_xlfn.XLOOKUP(E430,Index!$A:$A,Index!$B:$B),"")</f>
        <v>33075</v>
      </c>
      <c r="G430" s="20"/>
      <c r="H430" s="20"/>
      <c r="I430" s="20"/>
      <c r="P430" s="241"/>
      <c r="T430" s="1"/>
    </row>
    <row r="431" spans="1:20" ht="12.75" customHeight="1" x14ac:dyDescent="0.2">
      <c r="A431" s="26"/>
      <c r="B431" s="26"/>
      <c r="C431" s="35">
        <v>20</v>
      </c>
      <c r="D431" s="35">
        <v>500</v>
      </c>
      <c r="E431" s="38" t="s">
        <v>5542</v>
      </c>
      <c r="F431" s="34">
        <f>F413</f>
        <v>6517</v>
      </c>
      <c r="G431" s="20"/>
      <c r="H431" s="20"/>
      <c r="I431" s="20"/>
      <c r="P431" s="241"/>
      <c r="T431" s="1"/>
    </row>
    <row r="432" spans="1:20" ht="12.75" customHeight="1" x14ac:dyDescent="0.2">
      <c r="A432" s="26"/>
      <c r="B432" s="27"/>
      <c r="C432" s="35">
        <v>24</v>
      </c>
      <c r="D432" s="35">
        <v>550</v>
      </c>
      <c r="E432" s="38" t="s">
        <v>5542</v>
      </c>
      <c r="F432" s="34">
        <f>F431+492</f>
        <v>7009</v>
      </c>
      <c r="G432" s="20"/>
      <c r="H432" s="20"/>
      <c r="I432" s="20"/>
      <c r="P432" s="241"/>
      <c r="T432" s="1"/>
    </row>
    <row r="433" spans="1:20" ht="12.75" customHeight="1" x14ac:dyDescent="0.2">
      <c r="A433" s="26"/>
      <c r="B433" s="60" t="s">
        <v>134</v>
      </c>
      <c r="C433" s="61" t="s">
        <v>217</v>
      </c>
      <c r="D433" s="35">
        <v>20</v>
      </c>
      <c r="E433" s="35" t="s">
        <v>456</v>
      </c>
      <c r="F433" s="34">
        <f>IFERROR(_xlfn.XLOOKUP(E433,Index!$A:$A,Index!$B:$B),"")</f>
        <v>83.25</v>
      </c>
      <c r="G433" s="20"/>
      <c r="H433" s="20"/>
      <c r="I433" s="20"/>
      <c r="P433" s="241"/>
      <c r="T433" s="1"/>
    </row>
    <row r="434" spans="1:20" ht="12.75" customHeight="1" x14ac:dyDescent="0.2">
      <c r="A434" s="26"/>
      <c r="B434" s="26"/>
      <c r="C434" s="35">
        <v>1</v>
      </c>
      <c r="D434" s="35">
        <v>25</v>
      </c>
      <c r="E434" s="35" t="s">
        <v>456</v>
      </c>
      <c r="F434" s="34">
        <f>IFERROR(_xlfn.XLOOKUP(E434,Index!$A:$A,Index!$B:$B),"")</f>
        <v>83.25</v>
      </c>
      <c r="G434" s="20"/>
      <c r="H434" s="20"/>
      <c r="I434" s="20"/>
      <c r="P434" s="241"/>
      <c r="T434" s="1"/>
    </row>
    <row r="435" spans="1:20" ht="12.75" customHeight="1" x14ac:dyDescent="0.2">
      <c r="A435" s="26"/>
      <c r="B435" s="26"/>
      <c r="C435" s="35" t="s">
        <v>223</v>
      </c>
      <c r="D435" s="35">
        <v>32</v>
      </c>
      <c r="E435" s="35" t="s">
        <v>2828</v>
      </c>
      <c r="F435" s="34">
        <f>IFERROR(_xlfn.XLOOKUP(E435,Index!$A:$A,Index!$B:$B),"")</f>
        <v>92</v>
      </c>
      <c r="G435" s="20"/>
      <c r="H435" s="20"/>
      <c r="I435" s="20"/>
      <c r="P435" s="241"/>
      <c r="T435" s="1"/>
    </row>
    <row r="436" spans="1:20" ht="12.75" customHeight="1" x14ac:dyDescent="0.2">
      <c r="A436" s="26"/>
      <c r="B436" s="26"/>
      <c r="C436" s="35" t="s">
        <v>225</v>
      </c>
      <c r="D436" s="35">
        <v>40</v>
      </c>
      <c r="E436" s="35" t="s">
        <v>2828</v>
      </c>
      <c r="F436" s="34">
        <f>IFERROR(_xlfn.XLOOKUP(E436,Index!$A:$A,Index!$B:$B),"")</f>
        <v>92</v>
      </c>
      <c r="G436" s="20"/>
      <c r="H436" s="20"/>
      <c r="I436" s="20"/>
      <c r="P436" s="241"/>
      <c r="T436" s="1"/>
    </row>
    <row r="437" spans="1:20" ht="12.75" customHeight="1" x14ac:dyDescent="0.2">
      <c r="A437" s="26"/>
      <c r="B437" s="26"/>
      <c r="C437" s="35">
        <v>2</v>
      </c>
      <c r="D437" s="35">
        <v>50</v>
      </c>
      <c r="E437" s="35" t="s">
        <v>332</v>
      </c>
      <c r="F437" s="34">
        <f>IFERROR(_xlfn.XLOOKUP(E437,Index!$A:$A,Index!$B:$B),"")</f>
        <v>92</v>
      </c>
      <c r="G437" s="20"/>
      <c r="H437" s="20"/>
      <c r="I437" s="20"/>
      <c r="P437" s="241"/>
      <c r="T437" s="1"/>
    </row>
    <row r="438" spans="1:20" ht="12.75" customHeight="1" x14ac:dyDescent="0.2">
      <c r="A438" s="26"/>
      <c r="B438" s="26"/>
      <c r="C438" s="35" t="s">
        <v>231</v>
      </c>
      <c r="D438" s="35">
        <v>65</v>
      </c>
      <c r="E438" s="35" t="s">
        <v>333</v>
      </c>
      <c r="F438" s="34">
        <f>IFERROR(_xlfn.XLOOKUP(E438,Index!$A:$A,Index!$B:$B),"")</f>
        <v>108.5</v>
      </c>
      <c r="G438" s="20"/>
      <c r="H438" s="20"/>
      <c r="I438" s="20"/>
      <c r="P438" s="241"/>
      <c r="T438" s="1"/>
    </row>
    <row r="439" spans="1:20" ht="12.75" customHeight="1" x14ac:dyDescent="0.2">
      <c r="A439" s="26"/>
      <c r="B439" s="26"/>
      <c r="C439" s="35">
        <v>3</v>
      </c>
      <c r="D439" s="35">
        <v>80</v>
      </c>
      <c r="E439" s="35" t="s">
        <v>334</v>
      </c>
      <c r="F439" s="34">
        <f>IFERROR(_xlfn.XLOOKUP(E439,Index!$A:$A,Index!$B:$B),"")</f>
        <v>125</v>
      </c>
      <c r="G439" s="20"/>
      <c r="H439" s="20"/>
      <c r="I439" s="20"/>
      <c r="P439" s="241"/>
      <c r="T439" s="1"/>
    </row>
    <row r="440" spans="1:20" ht="12.75" customHeight="1" x14ac:dyDescent="0.2">
      <c r="A440" s="26"/>
      <c r="B440" s="26"/>
      <c r="C440" s="35">
        <v>4</v>
      </c>
      <c r="D440" s="35">
        <v>100</v>
      </c>
      <c r="E440" s="35" t="s">
        <v>335</v>
      </c>
      <c r="F440" s="34">
        <f>IFERROR(_xlfn.XLOOKUP(E440,Index!$A:$A,Index!$B:$B),"")</f>
        <v>204</v>
      </c>
      <c r="G440" s="20"/>
      <c r="H440" s="20"/>
      <c r="I440" s="20"/>
      <c r="P440" s="241"/>
      <c r="T440" s="1"/>
    </row>
    <row r="441" spans="1:20" ht="12.75" customHeight="1" x14ac:dyDescent="0.2">
      <c r="A441" s="26"/>
      <c r="B441" s="26"/>
      <c r="C441" s="35">
        <v>5</v>
      </c>
      <c r="D441" s="35">
        <v>125</v>
      </c>
      <c r="E441" s="35" t="s">
        <v>336</v>
      </c>
      <c r="F441" s="34">
        <f>IFERROR(_xlfn.XLOOKUP(E441,Index!$A:$A,Index!$B:$B),"")</f>
        <v>316</v>
      </c>
      <c r="G441" s="20"/>
      <c r="H441" s="20"/>
      <c r="I441" s="20"/>
      <c r="P441" s="241"/>
      <c r="T441" s="1"/>
    </row>
    <row r="442" spans="1:20" ht="12.75" customHeight="1" x14ac:dyDescent="0.2">
      <c r="A442" s="26"/>
      <c r="B442" s="26"/>
      <c r="C442" s="35">
        <v>6</v>
      </c>
      <c r="D442" s="35">
        <v>150</v>
      </c>
      <c r="E442" s="35" t="s">
        <v>337</v>
      </c>
      <c r="F442" s="34">
        <f>IFERROR(_xlfn.XLOOKUP(E442,Index!$A:$A,Index!$B:$B),"")</f>
        <v>394.5</v>
      </c>
      <c r="G442" s="20"/>
      <c r="H442" s="20"/>
      <c r="I442" s="20"/>
      <c r="P442" s="241"/>
      <c r="T442" s="1"/>
    </row>
    <row r="443" spans="1:20" ht="12.75" customHeight="1" x14ac:dyDescent="0.2">
      <c r="A443" s="26"/>
      <c r="B443" s="26"/>
      <c r="C443" s="35">
        <v>8</v>
      </c>
      <c r="D443" s="35">
        <v>200</v>
      </c>
      <c r="E443" s="35" t="s">
        <v>338</v>
      </c>
      <c r="F443" s="34">
        <f>IFERROR(_xlfn.XLOOKUP(E443,Index!$A:$A,Index!$B:$B),"")</f>
        <v>1246</v>
      </c>
      <c r="G443" s="20"/>
      <c r="H443" s="20"/>
      <c r="I443" s="20"/>
      <c r="P443" s="241"/>
      <c r="T443" s="1"/>
    </row>
    <row r="444" spans="1:20" ht="12.75" customHeight="1" x14ac:dyDescent="0.2">
      <c r="A444" s="26"/>
      <c r="B444" s="26"/>
      <c r="C444" s="35">
        <v>10</v>
      </c>
      <c r="D444" s="35">
        <v>250</v>
      </c>
      <c r="E444" s="35" t="s">
        <v>339</v>
      </c>
      <c r="F444" s="34">
        <f>IFERROR(_xlfn.XLOOKUP(E444,Index!$A:$A,Index!$B:$B),"")</f>
        <v>2084</v>
      </c>
      <c r="G444" s="20"/>
      <c r="H444" s="20"/>
      <c r="I444" s="20"/>
      <c r="P444" s="241"/>
      <c r="T444" s="1"/>
    </row>
    <row r="445" spans="1:20" ht="12.75" customHeight="1" x14ac:dyDescent="0.2">
      <c r="A445" s="26"/>
      <c r="B445" s="26"/>
      <c r="C445" s="35">
        <v>12</v>
      </c>
      <c r="D445" s="35">
        <v>300</v>
      </c>
      <c r="E445" s="35" t="s">
        <v>340</v>
      </c>
      <c r="F445" s="34">
        <f>IFERROR(_xlfn.XLOOKUP(E445,Index!$A:$A,Index!$B:$B),"")</f>
        <v>1943</v>
      </c>
      <c r="G445" s="20"/>
      <c r="H445" s="20"/>
      <c r="I445" s="20"/>
      <c r="P445" s="241"/>
      <c r="T445" s="1"/>
    </row>
    <row r="446" spans="1:20" ht="12.75" customHeight="1" x14ac:dyDescent="0.2">
      <c r="A446" s="26"/>
      <c r="B446" s="26"/>
      <c r="C446" s="35">
        <v>14</v>
      </c>
      <c r="D446" s="35">
        <v>350</v>
      </c>
      <c r="E446" s="35" t="s">
        <v>341</v>
      </c>
      <c r="F446" s="34">
        <f>IFERROR(_xlfn.XLOOKUP(E446,Index!$A:$A,Index!$B:$B),"")</f>
        <v>3150</v>
      </c>
      <c r="G446" s="20"/>
      <c r="H446" s="20"/>
      <c r="I446" s="20"/>
      <c r="P446" s="241"/>
      <c r="T446" s="1"/>
    </row>
    <row r="447" spans="1:20" ht="12.75" customHeight="1" x14ac:dyDescent="0.2">
      <c r="A447" s="26"/>
      <c r="B447" s="26"/>
      <c r="C447" s="35">
        <v>16</v>
      </c>
      <c r="D447" s="35">
        <v>400</v>
      </c>
      <c r="E447" s="35" t="s">
        <v>342</v>
      </c>
      <c r="F447" s="34">
        <f>IFERROR(_xlfn.XLOOKUP(E447,Index!$A:$A,Index!$B:$B),"")</f>
        <v>4435</v>
      </c>
      <c r="G447" s="20"/>
      <c r="H447" s="20"/>
      <c r="I447" s="20"/>
      <c r="P447" s="241"/>
      <c r="T447" s="1"/>
    </row>
    <row r="448" spans="1:20" ht="12.75" customHeight="1" x14ac:dyDescent="0.2">
      <c r="A448" s="26"/>
      <c r="B448" s="26"/>
      <c r="C448" s="35">
        <v>18</v>
      </c>
      <c r="D448" s="35">
        <v>450</v>
      </c>
      <c r="E448" s="35" t="s">
        <v>343</v>
      </c>
      <c r="F448" s="34">
        <f>IFERROR(_xlfn.XLOOKUP(E448,Index!$A:$A,Index!$B:$B),"")</f>
        <v>6303</v>
      </c>
      <c r="G448" s="20"/>
      <c r="H448" s="20"/>
      <c r="I448" s="20"/>
      <c r="P448" s="241"/>
      <c r="T448" s="1"/>
    </row>
    <row r="449" spans="1:20" ht="12.75" customHeight="1" x14ac:dyDescent="0.2">
      <c r="A449" s="26"/>
      <c r="B449" s="26"/>
      <c r="C449" s="35">
        <v>20</v>
      </c>
      <c r="D449" s="35">
        <v>500</v>
      </c>
      <c r="E449" s="35" t="s">
        <v>2829</v>
      </c>
      <c r="F449" s="34">
        <f>IFERROR(_xlfn.XLOOKUP(E449,Index!$A:$A,Index!$B:$B),"")</f>
        <v>7635</v>
      </c>
      <c r="G449" s="20"/>
      <c r="H449" s="20"/>
      <c r="I449" s="20"/>
      <c r="P449" s="241"/>
      <c r="T449" s="1"/>
    </row>
    <row r="450" spans="1:20" ht="12.75" customHeight="1" x14ac:dyDescent="0.2">
      <c r="A450" s="26"/>
      <c r="B450" s="27"/>
      <c r="C450" s="35">
        <v>24</v>
      </c>
      <c r="D450" s="35">
        <v>550</v>
      </c>
      <c r="E450" s="38" t="s">
        <v>5542</v>
      </c>
      <c r="F450" s="251">
        <f>F449+492</f>
        <v>8127</v>
      </c>
      <c r="G450" s="20"/>
      <c r="H450" s="20"/>
      <c r="I450" s="20"/>
      <c r="P450" s="241"/>
      <c r="T450" s="1"/>
    </row>
    <row r="451" spans="1:20" ht="12.75" customHeight="1" x14ac:dyDescent="0.2">
      <c r="A451" s="26"/>
      <c r="B451" s="60" t="s">
        <v>145</v>
      </c>
      <c r="C451" s="61" t="s">
        <v>217</v>
      </c>
      <c r="D451" s="35">
        <v>20</v>
      </c>
      <c r="E451" s="35" t="s">
        <v>2830</v>
      </c>
      <c r="F451" s="34">
        <f>IFERROR(_xlfn.XLOOKUP(E451,Index!$A:$A,Index!$B:$B),"")</f>
        <v>83.25</v>
      </c>
      <c r="G451" s="20"/>
      <c r="H451" s="20"/>
      <c r="I451" s="20"/>
      <c r="P451" s="241"/>
      <c r="T451" s="1"/>
    </row>
    <row r="452" spans="1:20" ht="12.75" customHeight="1" x14ac:dyDescent="0.2">
      <c r="A452" s="26"/>
      <c r="B452" s="26"/>
      <c r="C452" s="35">
        <v>1</v>
      </c>
      <c r="D452" s="35">
        <v>25</v>
      </c>
      <c r="E452" s="35" t="s">
        <v>2830</v>
      </c>
      <c r="F452" s="34">
        <f>IFERROR(_xlfn.XLOOKUP(E452,Index!$A:$A,Index!$B:$B),"")</f>
        <v>83.25</v>
      </c>
      <c r="G452" s="20"/>
      <c r="H452" s="20"/>
      <c r="I452" s="20"/>
      <c r="P452" s="241"/>
      <c r="T452" s="1"/>
    </row>
    <row r="453" spans="1:20" ht="12.75" customHeight="1" x14ac:dyDescent="0.2">
      <c r="A453" s="26"/>
      <c r="B453" s="26"/>
      <c r="C453" s="35" t="s">
        <v>223</v>
      </c>
      <c r="D453" s="35">
        <v>32</v>
      </c>
      <c r="E453" s="35" t="s">
        <v>344</v>
      </c>
      <c r="F453" s="34">
        <f>IFERROR(_xlfn.XLOOKUP(E453,Index!$A:$A,Index!$B:$B),"")</f>
        <v>92</v>
      </c>
      <c r="G453" s="20"/>
      <c r="H453" s="20"/>
      <c r="I453" s="20"/>
      <c r="P453" s="241"/>
      <c r="T453" s="1"/>
    </row>
    <row r="454" spans="1:20" ht="12.75" customHeight="1" x14ac:dyDescent="0.2">
      <c r="A454" s="26"/>
      <c r="B454" s="26"/>
      <c r="C454" s="35" t="s">
        <v>225</v>
      </c>
      <c r="D454" s="35">
        <v>40</v>
      </c>
      <c r="E454" s="35" t="s">
        <v>344</v>
      </c>
      <c r="F454" s="34">
        <f>IFERROR(_xlfn.XLOOKUP(E454,Index!$A:$A,Index!$B:$B),"")</f>
        <v>92</v>
      </c>
      <c r="G454" s="20"/>
      <c r="H454" s="20"/>
      <c r="I454" s="20"/>
      <c r="P454" s="241"/>
      <c r="T454" s="1"/>
    </row>
    <row r="455" spans="1:20" ht="12.75" customHeight="1" x14ac:dyDescent="0.2">
      <c r="A455" s="26"/>
      <c r="B455" s="26"/>
      <c r="C455" s="35">
        <v>2</v>
      </c>
      <c r="D455" s="35">
        <v>50</v>
      </c>
      <c r="E455" s="35" t="s">
        <v>345</v>
      </c>
      <c r="F455" s="34">
        <f>IFERROR(_xlfn.XLOOKUP(E455,Index!$A:$A,Index!$B:$B),"")</f>
        <v>92</v>
      </c>
      <c r="G455" s="20"/>
      <c r="H455" s="20"/>
      <c r="I455" s="20"/>
      <c r="P455" s="241"/>
      <c r="T455" s="1"/>
    </row>
    <row r="456" spans="1:20" ht="12.75" customHeight="1" x14ac:dyDescent="0.2">
      <c r="A456" s="26"/>
      <c r="B456" s="26"/>
      <c r="C456" s="35" t="s">
        <v>231</v>
      </c>
      <c r="D456" s="35">
        <v>65</v>
      </c>
      <c r="E456" s="35" t="s">
        <v>346</v>
      </c>
      <c r="F456" s="34">
        <f>IFERROR(_xlfn.XLOOKUP(E456,Index!$A:$A,Index!$B:$B),"")</f>
        <v>108.5</v>
      </c>
      <c r="G456" s="20"/>
      <c r="H456" s="20"/>
      <c r="I456" s="20"/>
      <c r="P456" s="241"/>
      <c r="T456" s="1"/>
    </row>
    <row r="457" spans="1:20" ht="12.75" customHeight="1" x14ac:dyDescent="0.2">
      <c r="A457" s="26"/>
      <c r="B457" s="26"/>
      <c r="C457" s="35">
        <v>3</v>
      </c>
      <c r="D457" s="35">
        <v>80</v>
      </c>
      <c r="E457" s="35" t="s">
        <v>347</v>
      </c>
      <c r="F457" s="34">
        <f>IFERROR(_xlfn.XLOOKUP(E457,Index!$A:$A,Index!$B:$B),"")</f>
        <v>125</v>
      </c>
      <c r="G457" s="20"/>
      <c r="H457" s="20"/>
      <c r="I457" s="20"/>
      <c r="P457" s="241"/>
      <c r="T457" s="1"/>
    </row>
    <row r="458" spans="1:20" ht="12.75" customHeight="1" x14ac:dyDescent="0.2">
      <c r="A458" s="26"/>
      <c r="B458" s="26"/>
      <c r="C458" s="35">
        <v>4</v>
      </c>
      <c r="D458" s="35">
        <v>100</v>
      </c>
      <c r="E458" s="35" t="s">
        <v>348</v>
      </c>
      <c r="F458" s="34">
        <f>IFERROR(_xlfn.XLOOKUP(E458,Index!$A:$A,Index!$B:$B),"")</f>
        <v>204</v>
      </c>
      <c r="G458" s="20"/>
      <c r="H458" s="20"/>
      <c r="I458" s="20"/>
      <c r="P458" s="241"/>
      <c r="T458" s="1"/>
    </row>
    <row r="459" spans="1:20" ht="12.75" customHeight="1" x14ac:dyDescent="0.2">
      <c r="A459" s="26"/>
      <c r="B459" s="26"/>
      <c r="C459" s="35">
        <v>5</v>
      </c>
      <c r="D459" s="35">
        <v>125</v>
      </c>
      <c r="E459" s="35" t="s">
        <v>349</v>
      </c>
      <c r="F459" s="34">
        <f>IFERROR(_xlfn.XLOOKUP(E459,Index!$A:$A,Index!$B:$B),"")</f>
        <v>316</v>
      </c>
      <c r="G459" s="20"/>
      <c r="H459" s="20"/>
      <c r="I459" s="20"/>
      <c r="P459" s="241"/>
      <c r="T459" s="1"/>
    </row>
    <row r="460" spans="1:20" ht="12.75" customHeight="1" x14ac:dyDescent="0.2">
      <c r="A460" s="26"/>
      <c r="B460" s="26"/>
      <c r="C460" s="35">
        <v>6</v>
      </c>
      <c r="D460" s="35">
        <v>150</v>
      </c>
      <c r="E460" s="35" t="s">
        <v>350</v>
      </c>
      <c r="F460" s="34">
        <f>IFERROR(_xlfn.XLOOKUP(E460,Index!$A:$A,Index!$B:$B),"")</f>
        <v>394.5</v>
      </c>
      <c r="G460" s="20"/>
      <c r="H460" s="20"/>
      <c r="I460" s="20"/>
      <c r="P460" s="241"/>
      <c r="T460" s="1"/>
    </row>
    <row r="461" spans="1:20" ht="12.75" customHeight="1" x14ac:dyDescent="0.2">
      <c r="A461" s="26"/>
      <c r="B461" s="26"/>
      <c r="C461" s="35">
        <v>8</v>
      </c>
      <c r="D461" s="35">
        <v>200</v>
      </c>
      <c r="E461" s="35" t="s">
        <v>351</v>
      </c>
      <c r="F461" s="34">
        <f>IFERROR(_xlfn.XLOOKUP(E461,Index!$A:$A,Index!$B:$B),"")</f>
        <v>1246</v>
      </c>
      <c r="G461" s="20"/>
      <c r="H461" s="20"/>
      <c r="I461" s="20"/>
      <c r="P461" s="241"/>
      <c r="T461" s="1"/>
    </row>
    <row r="462" spans="1:20" ht="12.75" customHeight="1" x14ac:dyDescent="0.2">
      <c r="A462" s="26"/>
      <c r="B462" s="26"/>
      <c r="C462" s="35">
        <v>10</v>
      </c>
      <c r="D462" s="35">
        <v>250</v>
      </c>
      <c r="E462" s="35" t="s">
        <v>352</v>
      </c>
      <c r="F462" s="34">
        <f>IFERROR(_xlfn.XLOOKUP(E462,Index!$A:$A,Index!$B:$B),"")</f>
        <v>2084</v>
      </c>
      <c r="G462" s="20"/>
      <c r="H462" s="20"/>
      <c r="I462" s="20"/>
      <c r="P462" s="241"/>
      <c r="T462" s="1"/>
    </row>
    <row r="463" spans="1:20" ht="12.75" customHeight="1" x14ac:dyDescent="0.2">
      <c r="A463" s="26"/>
      <c r="B463" s="26"/>
      <c r="C463" s="35">
        <v>12</v>
      </c>
      <c r="D463" s="35">
        <v>300</v>
      </c>
      <c r="E463" s="35" t="s">
        <v>353</v>
      </c>
      <c r="F463" s="34">
        <f>IFERROR(_xlfn.XLOOKUP(E463,Index!$A:$A,Index!$B:$B),"")</f>
        <v>1943</v>
      </c>
      <c r="G463" s="20"/>
      <c r="H463" s="20"/>
      <c r="I463" s="20"/>
      <c r="P463" s="241"/>
      <c r="T463" s="1"/>
    </row>
    <row r="464" spans="1:20" ht="12.75" customHeight="1" x14ac:dyDescent="0.2">
      <c r="A464" s="26"/>
      <c r="B464" s="26"/>
      <c r="C464" s="35">
        <v>14</v>
      </c>
      <c r="D464" s="35">
        <v>350</v>
      </c>
      <c r="E464" s="38" t="s">
        <v>5542</v>
      </c>
      <c r="F464" s="250">
        <f>F446</f>
        <v>3150</v>
      </c>
      <c r="G464" s="20"/>
      <c r="H464" s="20"/>
      <c r="I464" s="20"/>
      <c r="P464" s="241"/>
      <c r="T464" s="1"/>
    </row>
    <row r="465" spans="1:20" ht="12.75" customHeight="1" x14ac:dyDescent="0.2">
      <c r="A465" s="26"/>
      <c r="B465" s="26"/>
      <c r="C465" s="35">
        <v>16</v>
      </c>
      <c r="D465" s="35">
        <v>400</v>
      </c>
      <c r="E465" s="38" t="s">
        <v>5542</v>
      </c>
      <c r="F465" s="250">
        <f t="shared" ref="F465:F468" si="2">F447</f>
        <v>4435</v>
      </c>
      <c r="G465" s="20"/>
      <c r="H465" s="20"/>
      <c r="I465" s="20"/>
      <c r="P465" s="241"/>
      <c r="T465" s="1"/>
    </row>
    <row r="466" spans="1:20" ht="12.75" customHeight="1" x14ac:dyDescent="0.2">
      <c r="A466" s="26"/>
      <c r="B466" s="26"/>
      <c r="C466" s="35">
        <v>18</v>
      </c>
      <c r="D466" s="35">
        <v>450</v>
      </c>
      <c r="E466" s="38" t="s">
        <v>5542</v>
      </c>
      <c r="F466" s="250">
        <f t="shared" si="2"/>
        <v>6303</v>
      </c>
      <c r="G466" s="20"/>
      <c r="H466" s="20"/>
      <c r="I466" s="20"/>
      <c r="P466" s="241"/>
      <c r="T466" s="1"/>
    </row>
    <row r="467" spans="1:20" ht="12.75" customHeight="1" x14ac:dyDescent="0.2">
      <c r="A467" s="26"/>
      <c r="B467" s="26"/>
      <c r="C467" s="35">
        <v>20</v>
      </c>
      <c r="D467" s="35">
        <v>500</v>
      </c>
      <c r="E467" s="38" t="s">
        <v>5542</v>
      </c>
      <c r="F467" s="250">
        <f t="shared" si="2"/>
        <v>7635</v>
      </c>
      <c r="G467" s="20"/>
      <c r="H467" s="20"/>
      <c r="I467" s="20"/>
      <c r="P467" s="241"/>
      <c r="T467" s="1"/>
    </row>
    <row r="468" spans="1:20" ht="12.75" customHeight="1" x14ac:dyDescent="0.2">
      <c r="A468" s="26"/>
      <c r="B468" s="27"/>
      <c r="C468" s="35">
        <v>24</v>
      </c>
      <c r="D468" s="35">
        <v>550</v>
      </c>
      <c r="E468" s="38" t="s">
        <v>5542</v>
      </c>
      <c r="F468" s="250">
        <f t="shared" si="2"/>
        <v>8127</v>
      </c>
      <c r="G468" s="20"/>
      <c r="H468" s="20"/>
      <c r="I468" s="20"/>
      <c r="P468" s="241"/>
      <c r="T468" s="1"/>
    </row>
    <row r="469" spans="1:20" ht="12.75" customHeight="1" x14ac:dyDescent="0.2">
      <c r="A469" s="26"/>
      <c r="B469" s="60" t="s">
        <v>155</v>
      </c>
      <c r="C469" s="61" t="s">
        <v>217</v>
      </c>
      <c r="D469" s="35">
        <v>20</v>
      </c>
      <c r="E469" s="35" t="s">
        <v>354</v>
      </c>
      <c r="F469" s="34">
        <f>IFERROR(_xlfn.XLOOKUP(E469,Index!$A:$A,Index!$B:$B),"")</f>
        <v>83.25</v>
      </c>
      <c r="G469" s="20"/>
      <c r="H469" s="20"/>
      <c r="I469" s="20"/>
      <c r="P469" s="241"/>
      <c r="T469" s="1"/>
    </row>
    <row r="470" spans="1:20" ht="12.75" customHeight="1" x14ac:dyDescent="0.2">
      <c r="A470" s="26"/>
      <c r="B470" s="26"/>
      <c r="C470" s="35">
        <v>1</v>
      </c>
      <c r="D470" s="35">
        <v>25</v>
      </c>
      <c r="E470" s="35" t="s">
        <v>354</v>
      </c>
      <c r="F470" s="34">
        <f>IFERROR(_xlfn.XLOOKUP(E470,Index!$A:$A,Index!$B:$B),"")</f>
        <v>83.25</v>
      </c>
      <c r="G470" s="20"/>
      <c r="H470" s="20"/>
      <c r="I470" s="20"/>
      <c r="P470" s="241"/>
      <c r="T470" s="1"/>
    </row>
    <row r="471" spans="1:20" ht="12.75" customHeight="1" x14ac:dyDescent="0.2">
      <c r="A471" s="26"/>
      <c r="B471" s="26"/>
      <c r="C471" s="35" t="s">
        <v>223</v>
      </c>
      <c r="D471" s="35">
        <v>32</v>
      </c>
      <c r="E471" s="35" t="s">
        <v>461</v>
      </c>
      <c r="F471" s="34">
        <f>IFERROR(_xlfn.XLOOKUP(E471,Index!$A:$A,Index!$B:$B),"")</f>
        <v>442.5</v>
      </c>
      <c r="G471" s="20"/>
      <c r="H471" s="20"/>
      <c r="I471" s="20"/>
      <c r="P471" s="241"/>
      <c r="T471" s="1"/>
    </row>
    <row r="472" spans="1:20" ht="12.75" customHeight="1" x14ac:dyDescent="0.2">
      <c r="A472" s="26"/>
      <c r="B472" s="26"/>
      <c r="C472" s="35" t="s">
        <v>225</v>
      </c>
      <c r="D472" s="35">
        <v>40</v>
      </c>
      <c r="E472" s="35" t="s">
        <v>461</v>
      </c>
      <c r="F472" s="34">
        <f>IFERROR(_xlfn.XLOOKUP(E472,Index!$A:$A,Index!$B:$B),"")</f>
        <v>442.5</v>
      </c>
      <c r="G472" s="20"/>
      <c r="H472" s="20"/>
      <c r="I472" s="20"/>
      <c r="P472" s="241"/>
      <c r="T472" s="1"/>
    </row>
    <row r="473" spans="1:20" ht="12.75" customHeight="1" x14ac:dyDescent="0.2">
      <c r="A473" s="26"/>
      <c r="B473" s="26"/>
      <c r="C473" s="35">
        <v>2</v>
      </c>
      <c r="D473" s="35">
        <v>50</v>
      </c>
      <c r="E473" s="35" t="s">
        <v>355</v>
      </c>
      <c r="F473" s="34">
        <f>IFERROR(_xlfn.XLOOKUP(E473,Index!$A:$A,Index!$B:$B),"")</f>
        <v>92</v>
      </c>
      <c r="G473" s="20"/>
      <c r="H473" s="20"/>
      <c r="I473" s="20"/>
      <c r="P473" s="241"/>
      <c r="T473" s="1"/>
    </row>
    <row r="474" spans="1:20" ht="12.75" customHeight="1" x14ac:dyDescent="0.2">
      <c r="A474" s="26"/>
      <c r="B474" s="26"/>
      <c r="C474" s="35" t="s">
        <v>231</v>
      </c>
      <c r="D474" s="35">
        <v>65</v>
      </c>
      <c r="E474" s="35" t="s">
        <v>356</v>
      </c>
      <c r="F474" s="34">
        <f>IFERROR(_xlfn.XLOOKUP(E474,Index!$A:$A,Index!$B:$B),"")</f>
        <v>108.5</v>
      </c>
      <c r="G474" s="20"/>
      <c r="H474" s="20"/>
      <c r="I474" s="20"/>
      <c r="P474" s="241"/>
      <c r="T474" s="1"/>
    </row>
    <row r="475" spans="1:20" ht="12.75" customHeight="1" x14ac:dyDescent="0.2">
      <c r="A475" s="26"/>
      <c r="B475" s="26"/>
      <c r="C475" s="35">
        <v>3</v>
      </c>
      <c r="D475" s="35">
        <v>80</v>
      </c>
      <c r="E475" s="35" t="s">
        <v>357</v>
      </c>
      <c r="F475" s="34">
        <f>IFERROR(_xlfn.XLOOKUP(E475,Index!$A:$A,Index!$B:$B),"")</f>
        <v>125</v>
      </c>
      <c r="G475" s="20"/>
      <c r="H475" s="20"/>
      <c r="I475" s="20"/>
      <c r="P475" s="241"/>
      <c r="T475" s="1"/>
    </row>
    <row r="476" spans="1:20" ht="12.75" customHeight="1" x14ac:dyDescent="0.2">
      <c r="A476" s="26"/>
      <c r="B476" s="26"/>
      <c r="C476" s="35">
        <v>4</v>
      </c>
      <c r="D476" s="35">
        <v>100</v>
      </c>
      <c r="E476" s="35" t="s">
        <v>358</v>
      </c>
      <c r="F476" s="34">
        <f>IFERROR(_xlfn.XLOOKUP(E476,Index!$A:$A,Index!$B:$B),"")</f>
        <v>204</v>
      </c>
      <c r="G476" s="20"/>
      <c r="H476" s="20"/>
      <c r="I476" s="20"/>
      <c r="P476" s="241"/>
      <c r="T476" s="1"/>
    </row>
    <row r="477" spans="1:20" ht="12.75" customHeight="1" x14ac:dyDescent="0.2">
      <c r="A477" s="26"/>
      <c r="B477" s="26"/>
      <c r="C477" s="35">
        <v>5</v>
      </c>
      <c r="D477" s="35">
        <v>125</v>
      </c>
      <c r="E477" s="35" t="s">
        <v>359</v>
      </c>
      <c r="F477" s="34">
        <f>IFERROR(_xlfn.XLOOKUP(E477,Index!$A:$A,Index!$B:$B),"")</f>
        <v>316</v>
      </c>
      <c r="G477" s="20"/>
      <c r="H477" s="20"/>
      <c r="I477" s="20"/>
      <c r="P477" s="241"/>
      <c r="T477" s="1"/>
    </row>
    <row r="478" spans="1:20" ht="12.75" customHeight="1" x14ac:dyDescent="0.2">
      <c r="A478" s="26"/>
      <c r="B478" s="26"/>
      <c r="C478" s="35">
        <v>6</v>
      </c>
      <c r="D478" s="35">
        <v>150</v>
      </c>
      <c r="E478" s="35" t="s">
        <v>360</v>
      </c>
      <c r="F478" s="34">
        <f>IFERROR(_xlfn.XLOOKUP(E478,Index!$A:$A,Index!$B:$B),"")</f>
        <v>394.5</v>
      </c>
      <c r="G478" s="20"/>
      <c r="H478" s="20"/>
      <c r="I478" s="20"/>
      <c r="P478" s="241"/>
      <c r="T478" s="1"/>
    </row>
    <row r="479" spans="1:20" ht="12.75" customHeight="1" x14ac:dyDescent="0.2">
      <c r="A479" s="26"/>
      <c r="B479" s="26"/>
      <c r="C479" s="35">
        <v>8</v>
      </c>
      <c r="D479" s="35">
        <v>200</v>
      </c>
      <c r="E479" s="35" t="s">
        <v>361</v>
      </c>
      <c r="F479" s="34">
        <f>IFERROR(_xlfn.XLOOKUP(E479,Index!$A:$A,Index!$B:$B),"")</f>
        <v>1246</v>
      </c>
      <c r="G479" s="20"/>
      <c r="H479" s="20"/>
      <c r="I479" s="20"/>
      <c r="P479" s="241"/>
      <c r="T479" s="1"/>
    </row>
    <row r="480" spans="1:20" ht="12.75" customHeight="1" x14ac:dyDescent="0.2">
      <c r="A480" s="26"/>
      <c r="B480" s="26"/>
      <c r="C480" s="35">
        <v>10</v>
      </c>
      <c r="D480" s="35">
        <v>250</v>
      </c>
      <c r="E480" s="35" t="s">
        <v>362</v>
      </c>
      <c r="F480" s="34">
        <f>IFERROR(_xlfn.XLOOKUP(E480,Index!$A:$A,Index!$B:$B),"")</f>
        <v>2084</v>
      </c>
      <c r="G480" s="20"/>
      <c r="H480" s="20"/>
      <c r="I480" s="20"/>
      <c r="P480" s="241"/>
      <c r="T480" s="1"/>
    </row>
    <row r="481" spans="1:20" ht="12.75" customHeight="1" x14ac:dyDescent="0.2">
      <c r="A481" s="26"/>
      <c r="B481" s="26"/>
      <c r="C481" s="35">
        <v>12</v>
      </c>
      <c r="D481" s="35">
        <v>300</v>
      </c>
      <c r="E481" s="35" t="s">
        <v>363</v>
      </c>
      <c r="F481" s="34">
        <f>IFERROR(_xlfn.XLOOKUP(E481,Index!$A:$A,Index!$B:$B),"")</f>
        <v>6254</v>
      </c>
      <c r="G481" s="20"/>
      <c r="H481" s="20"/>
      <c r="I481" s="20"/>
      <c r="P481" s="241"/>
      <c r="T481" s="1"/>
    </row>
    <row r="482" spans="1:20" ht="12.75" customHeight="1" x14ac:dyDescent="0.2">
      <c r="A482" s="26"/>
      <c r="B482" s="26"/>
      <c r="C482" s="35">
        <v>14</v>
      </c>
      <c r="D482" s="35">
        <v>350</v>
      </c>
      <c r="E482" s="38" t="s">
        <v>5542</v>
      </c>
      <c r="F482" s="250">
        <f>F464</f>
        <v>3150</v>
      </c>
      <c r="G482" s="20"/>
      <c r="H482" s="20"/>
      <c r="I482" s="20"/>
      <c r="P482" s="241"/>
      <c r="T482" s="1"/>
    </row>
    <row r="483" spans="1:20" ht="12.75" customHeight="1" x14ac:dyDescent="0.2">
      <c r="A483" s="26"/>
      <c r="B483" s="26"/>
      <c r="C483" s="35">
        <v>16</v>
      </c>
      <c r="D483" s="35">
        <v>400</v>
      </c>
      <c r="E483" s="38" t="s">
        <v>5542</v>
      </c>
      <c r="F483" s="250">
        <f t="shared" ref="F483:F486" si="3">F465</f>
        <v>4435</v>
      </c>
      <c r="G483" s="20"/>
      <c r="H483" s="20"/>
      <c r="I483" s="20"/>
      <c r="P483" s="241"/>
      <c r="T483" s="1"/>
    </row>
    <row r="484" spans="1:20" ht="12.75" customHeight="1" x14ac:dyDescent="0.2">
      <c r="A484" s="26"/>
      <c r="B484" s="26"/>
      <c r="C484" s="35">
        <v>18</v>
      </c>
      <c r="D484" s="35">
        <v>450</v>
      </c>
      <c r="E484" s="38" t="s">
        <v>5542</v>
      </c>
      <c r="F484" s="250">
        <f t="shared" si="3"/>
        <v>6303</v>
      </c>
      <c r="G484" s="20"/>
      <c r="H484" s="20"/>
      <c r="I484" s="20"/>
      <c r="P484" s="241"/>
      <c r="T484" s="1"/>
    </row>
    <row r="485" spans="1:20" ht="12.75" customHeight="1" x14ac:dyDescent="0.2">
      <c r="A485" s="26"/>
      <c r="B485" s="26"/>
      <c r="C485" s="35">
        <v>20</v>
      </c>
      <c r="D485" s="35">
        <v>500</v>
      </c>
      <c r="E485" s="38" t="s">
        <v>5542</v>
      </c>
      <c r="F485" s="250">
        <f t="shared" si="3"/>
        <v>7635</v>
      </c>
      <c r="G485" s="20"/>
      <c r="H485" s="20"/>
      <c r="I485" s="20"/>
      <c r="P485" s="241"/>
      <c r="T485" s="1"/>
    </row>
    <row r="486" spans="1:20" ht="12.75" customHeight="1" x14ac:dyDescent="0.2">
      <c r="A486" s="26"/>
      <c r="B486" s="27"/>
      <c r="C486" s="35">
        <v>24</v>
      </c>
      <c r="D486" s="35">
        <v>550</v>
      </c>
      <c r="E486" s="38" t="s">
        <v>5542</v>
      </c>
      <c r="F486" s="250">
        <f t="shared" si="3"/>
        <v>8127</v>
      </c>
      <c r="G486" s="20"/>
      <c r="H486" s="20"/>
      <c r="I486" s="20"/>
      <c r="P486" s="241"/>
      <c r="T486" s="1"/>
    </row>
    <row r="487" spans="1:20" ht="12.75" customHeight="1" x14ac:dyDescent="0.2">
      <c r="A487" s="26"/>
      <c r="B487" s="26" t="s">
        <v>167</v>
      </c>
      <c r="C487" s="223" t="s">
        <v>217</v>
      </c>
      <c r="D487" s="31">
        <v>20</v>
      </c>
      <c r="E487" s="31" t="s">
        <v>364</v>
      </c>
      <c r="F487" s="34">
        <f>IFERROR(_xlfn.XLOOKUP(E487,Index!$A:$A,Index!$B:$B),"")</f>
        <v>7</v>
      </c>
      <c r="G487" s="20"/>
      <c r="H487" s="20"/>
      <c r="I487" s="20"/>
      <c r="P487" s="241"/>
      <c r="T487" s="1"/>
    </row>
    <row r="488" spans="1:20" ht="12.75" customHeight="1" x14ac:dyDescent="0.2">
      <c r="A488" s="26"/>
      <c r="B488" s="26"/>
      <c r="C488" s="35">
        <v>1</v>
      </c>
      <c r="D488" s="35">
        <v>25</v>
      </c>
      <c r="E488" s="35" t="s">
        <v>364</v>
      </c>
      <c r="F488" s="34">
        <f>IFERROR(_xlfn.XLOOKUP(E488,Index!$A:$A,Index!$B:$B),"")</f>
        <v>7</v>
      </c>
      <c r="G488" s="20"/>
      <c r="H488" s="20"/>
      <c r="I488" s="20"/>
      <c r="P488" s="241"/>
      <c r="T488" s="1"/>
    </row>
    <row r="489" spans="1:20" ht="12.75" customHeight="1" x14ac:dyDescent="0.2">
      <c r="A489" s="26"/>
      <c r="B489" s="26"/>
      <c r="C489" s="35" t="s">
        <v>223</v>
      </c>
      <c r="D489" s="35">
        <v>32</v>
      </c>
      <c r="E489" s="35" t="s">
        <v>364</v>
      </c>
      <c r="F489" s="34">
        <f>IFERROR(_xlfn.XLOOKUP(E489,Index!$A:$A,Index!$B:$B),"")</f>
        <v>7</v>
      </c>
      <c r="G489" s="20"/>
      <c r="H489" s="20"/>
      <c r="I489" s="20"/>
      <c r="P489" s="241"/>
      <c r="T489" s="1"/>
    </row>
    <row r="490" spans="1:20" ht="12.75" customHeight="1" x14ac:dyDescent="0.2">
      <c r="A490" s="26"/>
      <c r="B490" s="26"/>
      <c r="C490" s="35" t="s">
        <v>225</v>
      </c>
      <c r="D490" s="35">
        <v>40</v>
      </c>
      <c r="E490" s="35" t="s">
        <v>364</v>
      </c>
      <c r="F490" s="34">
        <f>IFERROR(_xlfn.XLOOKUP(E490,Index!$A:$A,Index!$B:$B),"")</f>
        <v>7</v>
      </c>
      <c r="G490" s="20"/>
      <c r="H490" s="20"/>
      <c r="I490" s="20"/>
      <c r="P490" s="241"/>
      <c r="T490" s="1"/>
    </row>
    <row r="491" spans="1:20" ht="12.75" customHeight="1" x14ac:dyDescent="0.2">
      <c r="A491" s="26"/>
      <c r="B491" s="26"/>
      <c r="C491" s="35">
        <v>2</v>
      </c>
      <c r="D491" s="35">
        <v>50</v>
      </c>
      <c r="E491" s="35" t="s">
        <v>364</v>
      </c>
      <c r="F491" s="34">
        <f>IFERROR(_xlfn.XLOOKUP(E491,Index!$A:$A,Index!$B:$B),"")</f>
        <v>7</v>
      </c>
      <c r="G491" s="20"/>
      <c r="H491" s="20"/>
      <c r="I491" s="20"/>
      <c r="P491" s="241"/>
      <c r="T491" s="1"/>
    </row>
    <row r="492" spans="1:20" ht="12.75" customHeight="1" x14ac:dyDescent="0.2">
      <c r="A492" s="26"/>
      <c r="B492" s="26"/>
      <c r="C492" s="35" t="s">
        <v>231</v>
      </c>
      <c r="D492" s="35">
        <v>65</v>
      </c>
      <c r="E492" s="35" t="s">
        <v>365</v>
      </c>
      <c r="F492" s="34">
        <f>IFERROR(_xlfn.XLOOKUP(E492,Index!$A:$A,Index!$B:$B),"")</f>
        <v>9.75</v>
      </c>
      <c r="G492" s="20"/>
      <c r="H492" s="20"/>
      <c r="I492" s="20"/>
      <c r="P492" s="241"/>
      <c r="T492" s="1"/>
    </row>
    <row r="493" spans="1:20" ht="12.75" customHeight="1" x14ac:dyDescent="0.2">
      <c r="A493" s="26"/>
      <c r="B493" s="26"/>
      <c r="C493" s="35">
        <v>3</v>
      </c>
      <c r="D493" s="35">
        <v>80</v>
      </c>
      <c r="E493" s="35" t="s">
        <v>365</v>
      </c>
      <c r="F493" s="34">
        <f>IFERROR(_xlfn.XLOOKUP(E493,Index!$A:$A,Index!$B:$B),"")</f>
        <v>9.75</v>
      </c>
      <c r="G493" s="20"/>
      <c r="H493" s="20"/>
      <c r="I493" s="20"/>
      <c r="P493" s="241"/>
      <c r="T493" s="1"/>
    </row>
    <row r="494" spans="1:20" ht="12.75" customHeight="1" x14ac:dyDescent="0.2">
      <c r="A494" s="26"/>
      <c r="B494" s="26"/>
      <c r="C494" s="35">
        <v>4</v>
      </c>
      <c r="D494" s="35">
        <v>100</v>
      </c>
      <c r="E494" s="35" t="s">
        <v>366</v>
      </c>
      <c r="F494" s="34">
        <f>IFERROR(_xlfn.XLOOKUP(E494,Index!$A:$A,Index!$B:$B),"")</f>
        <v>33.25</v>
      </c>
      <c r="G494" s="20"/>
      <c r="H494" s="20"/>
      <c r="I494" s="20"/>
      <c r="P494" s="241"/>
      <c r="T494" s="1"/>
    </row>
    <row r="495" spans="1:20" ht="12.75" customHeight="1" x14ac:dyDescent="0.2">
      <c r="A495" s="26"/>
      <c r="B495" s="26"/>
      <c r="C495" s="35">
        <v>5</v>
      </c>
      <c r="D495" s="35">
        <v>125</v>
      </c>
      <c r="E495" s="35" t="s">
        <v>367</v>
      </c>
      <c r="F495" s="34">
        <f>IFERROR(_xlfn.XLOOKUP(E495,Index!$A:$A,Index!$B:$B),"")</f>
        <v>50</v>
      </c>
      <c r="G495" s="20"/>
      <c r="H495" s="20"/>
      <c r="I495" s="20"/>
      <c r="P495" s="241"/>
      <c r="T495" s="1"/>
    </row>
    <row r="496" spans="1:20" ht="12.75" customHeight="1" x14ac:dyDescent="0.2">
      <c r="A496" s="26"/>
      <c r="B496" s="26"/>
      <c r="C496" s="35">
        <v>6</v>
      </c>
      <c r="D496" s="35">
        <v>150</v>
      </c>
      <c r="E496" s="35" t="s">
        <v>367</v>
      </c>
      <c r="F496" s="34">
        <f>IFERROR(_xlfn.XLOOKUP(E496,Index!$A:$A,Index!$B:$B),"")</f>
        <v>50</v>
      </c>
      <c r="G496" s="20"/>
      <c r="H496" s="20"/>
      <c r="I496" s="20"/>
      <c r="P496" s="241"/>
      <c r="T496" s="1"/>
    </row>
    <row r="497" spans="1:20" ht="12.75" customHeight="1" x14ac:dyDescent="0.2">
      <c r="A497" s="26"/>
      <c r="B497" s="26"/>
      <c r="C497" s="35">
        <v>8</v>
      </c>
      <c r="D497" s="35">
        <v>200</v>
      </c>
      <c r="E497" s="35" t="s">
        <v>367</v>
      </c>
      <c r="F497" s="34">
        <f>IFERROR(_xlfn.XLOOKUP(E497,Index!$A:$A,Index!$B:$B),"")</f>
        <v>50</v>
      </c>
      <c r="G497" s="20"/>
      <c r="H497" s="20"/>
      <c r="I497" s="20"/>
      <c r="P497" s="241"/>
      <c r="T497" s="1"/>
    </row>
    <row r="498" spans="1:20" ht="12.75" customHeight="1" x14ac:dyDescent="0.2">
      <c r="A498" s="26"/>
      <c r="B498" s="26"/>
      <c r="C498" s="35">
        <v>10</v>
      </c>
      <c r="D498" s="35">
        <v>250</v>
      </c>
      <c r="E498" s="35" t="s">
        <v>367</v>
      </c>
      <c r="F498" s="34">
        <f>IFERROR(_xlfn.XLOOKUP(E498,Index!$A:$A,Index!$B:$B),"")</f>
        <v>50</v>
      </c>
      <c r="G498" s="20"/>
      <c r="H498" s="20"/>
      <c r="I498" s="20"/>
      <c r="P498" s="241"/>
      <c r="T498" s="1"/>
    </row>
    <row r="499" spans="1:20" ht="12.75" customHeight="1" x14ac:dyDescent="0.2">
      <c r="A499" s="26"/>
      <c r="B499" s="26"/>
      <c r="C499" s="35">
        <v>12</v>
      </c>
      <c r="D499" s="35">
        <v>300</v>
      </c>
      <c r="E499" s="35" t="s">
        <v>367</v>
      </c>
      <c r="F499" s="34">
        <f>IFERROR(_xlfn.XLOOKUP(E499,Index!$A:$A,Index!$B:$B),"")</f>
        <v>50</v>
      </c>
      <c r="G499" s="20"/>
      <c r="H499" s="20"/>
      <c r="I499" s="20"/>
      <c r="P499" s="241"/>
      <c r="T499" s="1"/>
    </row>
    <row r="500" spans="1:20" ht="12.75" customHeight="1" x14ac:dyDescent="0.2">
      <c r="A500" s="26"/>
      <c r="B500" s="26"/>
      <c r="C500" s="35">
        <v>14</v>
      </c>
      <c r="D500" s="35">
        <v>350</v>
      </c>
      <c r="E500" s="35" t="s">
        <v>367</v>
      </c>
      <c r="F500" s="34">
        <f>IFERROR(_xlfn.XLOOKUP(E500,Index!$A:$A,Index!$B:$B),"")</f>
        <v>50</v>
      </c>
      <c r="G500" s="20"/>
      <c r="H500" s="20"/>
      <c r="I500" s="20"/>
      <c r="P500" s="241"/>
      <c r="T500" s="1"/>
    </row>
    <row r="501" spans="1:20" ht="12.75" customHeight="1" x14ac:dyDescent="0.2">
      <c r="A501" s="26"/>
      <c r="B501" s="26"/>
      <c r="C501" s="35">
        <v>16</v>
      </c>
      <c r="D501" s="35">
        <v>400</v>
      </c>
      <c r="E501" s="35" t="s">
        <v>367</v>
      </c>
      <c r="F501" s="34">
        <f>IFERROR(_xlfn.XLOOKUP(E501,Index!$A:$A,Index!$B:$B),"")</f>
        <v>50</v>
      </c>
      <c r="G501" s="20"/>
      <c r="H501" s="20"/>
      <c r="I501" s="20"/>
      <c r="P501" s="241"/>
      <c r="T501" s="1"/>
    </row>
    <row r="502" spans="1:20" ht="12.75" customHeight="1" x14ac:dyDescent="0.2">
      <c r="A502" s="26"/>
      <c r="B502" s="26"/>
      <c r="C502" s="35">
        <v>18</v>
      </c>
      <c r="D502" s="35">
        <v>450</v>
      </c>
      <c r="E502" s="35" t="s">
        <v>367</v>
      </c>
      <c r="F502" s="34">
        <f>IFERROR(_xlfn.XLOOKUP(E502,Index!$A:$A,Index!$B:$B),"")</f>
        <v>50</v>
      </c>
      <c r="G502" s="20"/>
      <c r="H502" s="20"/>
      <c r="I502" s="20"/>
      <c r="P502" s="241"/>
      <c r="T502" s="1"/>
    </row>
    <row r="503" spans="1:20" ht="12.75" customHeight="1" x14ac:dyDescent="0.2">
      <c r="A503" s="26"/>
      <c r="B503" s="26"/>
      <c r="C503" s="35">
        <v>20</v>
      </c>
      <c r="D503" s="35">
        <v>500</v>
      </c>
      <c r="E503" s="35" t="s">
        <v>367</v>
      </c>
      <c r="F503" s="34">
        <f>IFERROR(_xlfn.XLOOKUP(E503,Index!$A:$A,Index!$B:$B),"")</f>
        <v>50</v>
      </c>
      <c r="G503" s="20"/>
      <c r="H503" s="20"/>
      <c r="I503" s="20"/>
      <c r="P503" s="241"/>
      <c r="T503" s="1"/>
    </row>
    <row r="504" spans="1:20" ht="12.75" customHeight="1" x14ac:dyDescent="0.2">
      <c r="A504" s="27"/>
      <c r="B504" s="27"/>
      <c r="C504" s="35">
        <v>24</v>
      </c>
      <c r="D504" s="35">
        <v>550</v>
      </c>
      <c r="E504" s="35" t="s">
        <v>367</v>
      </c>
      <c r="F504" s="34">
        <f>IFERROR(_xlfn.XLOOKUP(E504,Index!$A:$A,Index!$B:$B),"")</f>
        <v>50</v>
      </c>
      <c r="G504" s="20"/>
      <c r="H504" s="20"/>
      <c r="I504" s="20"/>
      <c r="P504" s="241"/>
      <c r="T504" s="1"/>
    </row>
    <row r="505" spans="1:20" ht="12.75" customHeight="1" x14ac:dyDescent="0.2">
      <c r="A505" s="12"/>
      <c r="B505" s="12"/>
      <c r="C505" s="4"/>
      <c r="D505" s="4"/>
      <c r="E505" s="5"/>
      <c r="F505" s="21"/>
      <c r="G505" s="4"/>
      <c r="L505" s="20"/>
      <c r="M505" s="20"/>
      <c r="N505" s="20"/>
      <c r="O505" s="20"/>
    </row>
    <row r="506" spans="1:20" ht="12.75" customHeight="1" x14ac:dyDescent="0.2">
      <c r="A506" s="12"/>
      <c r="B506" s="12"/>
      <c r="C506" s="4"/>
      <c r="D506" s="4"/>
      <c r="E506" s="5"/>
      <c r="F506" s="13"/>
      <c r="G506" s="4"/>
      <c r="L506" s="20"/>
      <c r="M506" s="20"/>
      <c r="N506" s="20"/>
      <c r="O506" s="20"/>
    </row>
    <row r="507" spans="1:20" ht="19.350000000000001" customHeight="1" x14ac:dyDescent="0.2">
      <c r="A507" s="62" t="s">
        <v>368</v>
      </c>
      <c r="B507" s="62" t="s">
        <v>33</v>
      </c>
      <c r="D507" s="3"/>
      <c r="E507" s="8"/>
      <c r="F507" s="9"/>
      <c r="G507" s="10"/>
      <c r="L507" s="20"/>
      <c r="M507" s="20"/>
      <c r="N507" s="20"/>
      <c r="O507" s="20"/>
    </row>
    <row r="508" spans="1:20" ht="18.600000000000001" customHeight="1" x14ac:dyDescent="0.2">
      <c r="A508" s="48" t="s">
        <v>369</v>
      </c>
      <c r="B508" s="11"/>
      <c r="C508" s="4"/>
      <c r="D508" s="4"/>
      <c r="E508" s="5"/>
      <c r="F508" s="9"/>
      <c r="G508" s="4"/>
      <c r="L508" s="20"/>
      <c r="M508" s="20"/>
      <c r="N508" s="20"/>
      <c r="O508" s="20"/>
    </row>
    <row r="509" spans="1:20" ht="12.75" customHeight="1" x14ac:dyDescent="0.2">
      <c r="A509" s="25" t="s">
        <v>35</v>
      </c>
      <c r="B509" s="28" t="s">
        <v>36</v>
      </c>
      <c r="C509" s="29" t="s">
        <v>37</v>
      </c>
      <c r="D509" s="22"/>
      <c r="E509" s="22" t="s">
        <v>38</v>
      </c>
      <c r="F509" s="22"/>
      <c r="G509" s="23" t="s">
        <v>39</v>
      </c>
      <c r="H509" s="23"/>
      <c r="I509" s="42" t="s">
        <v>40</v>
      </c>
      <c r="J509" s="24" t="s">
        <v>41</v>
      </c>
      <c r="L509" s="20"/>
      <c r="M509" s="20"/>
      <c r="N509" s="20"/>
      <c r="O509" s="20"/>
    </row>
    <row r="510" spans="1:20" ht="12.75" customHeight="1" x14ac:dyDescent="0.2">
      <c r="A510" s="32"/>
      <c r="B510" s="32"/>
      <c r="C510" s="33" t="s">
        <v>42</v>
      </c>
      <c r="D510" s="33" t="s">
        <v>43</v>
      </c>
      <c r="E510" s="33" t="s">
        <v>44</v>
      </c>
      <c r="F510" s="33" t="s">
        <v>45</v>
      </c>
      <c r="G510" s="33" t="s">
        <v>46</v>
      </c>
      <c r="H510" s="39" t="s">
        <v>47</v>
      </c>
      <c r="I510" s="33"/>
      <c r="J510" s="41"/>
      <c r="L510" s="20"/>
      <c r="M510" s="20"/>
      <c r="N510" s="20"/>
      <c r="O510" s="20"/>
    </row>
    <row r="511" spans="1:20" ht="12.75" customHeight="1" x14ac:dyDescent="0.2">
      <c r="A511" s="26">
        <v>752</v>
      </c>
      <c r="B511" s="26" t="s">
        <v>370</v>
      </c>
      <c r="C511" s="30" t="s">
        <v>50</v>
      </c>
      <c r="D511" s="35" t="s">
        <v>176</v>
      </c>
      <c r="E511" s="36" t="s">
        <v>217</v>
      </c>
      <c r="F511" s="37">
        <v>20</v>
      </c>
      <c r="G511" s="35">
        <v>10</v>
      </c>
      <c r="H511" s="40">
        <v>4.5</v>
      </c>
      <c r="I511" s="38" t="s">
        <v>371</v>
      </c>
      <c r="J511" s="34">
        <f>IFERROR(_xlfn.XLOOKUP(I511,Index!$A:$A,Index!$B:$B),"")</f>
        <v>578.5</v>
      </c>
      <c r="L511" s="20"/>
      <c r="M511" s="20"/>
      <c r="N511" s="20"/>
      <c r="O511" s="20"/>
    </row>
    <row r="512" spans="1:20" ht="12.75" customHeight="1" x14ac:dyDescent="0.2">
      <c r="A512" s="26"/>
      <c r="B512" s="26"/>
      <c r="C512" s="30"/>
      <c r="D512" s="35" t="s">
        <v>53</v>
      </c>
      <c r="E512" s="36" t="s">
        <v>217</v>
      </c>
      <c r="F512" s="37">
        <v>20</v>
      </c>
      <c r="G512" s="35">
        <v>10</v>
      </c>
      <c r="H512" s="40">
        <v>4.5</v>
      </c>
      <c r="I512" s="38" t="s">
        <v>5542</v>
      </c>
      <c r="J512" s="34">
        <f>J511+23</f>
        <v>601.5</v>
      </c>
      <c r="L512" s="20"/>
      <c r="M512" s="20"/>
      <c r="N512" s="20"/>
      <c r="O512" s="20"/>
    </row>
    <row r="513" spans="1:15" ht="12.75" customHeight="1" x14ac:dyDescent="0.2">
      <c r="A513" s="26"/>
      <c r="B513" s="26"/>
      <c r="C513" s="30"/>
      <c r="D513" s="35" t="s">
        <v>55</v>
      </c>
      <c r="E513" s="36" t="s">
        <v>217</v>
      </c>
      <c r="F513" s="37">
        <v>20</v>
      </c>
      <c r="G513" s="35">
        <v>10</v>
      </c>
      <c r="H513" s="40">
        <v>4.5</v>
      </c>
      <c r="I513" s="38" t="s">
        <v>5542</v>
      </c>
      <c r="J513" s="34">
        <f>J512</f>
        <v>601.5</v>
      </c>
      <c r="L513" s="20"/>
      <c r="M513" s="20"/>
      <c r="N513" s="20"/>
      <c r="O513" s="20"/>
    </row>
    <row r="514" spans="1:15" ht="12.75" customHeight="1" x14ac:dyDescent="0.2">
      <c r="A514" s="26"/>
      <c r="B514" s="26"/>
      <c r="C514" s="30"/>
      <c r="D514" s="35" t="s">
        <v>176</v>
      </c>
      <c r="E514" s="36">
        <v>1</v>
      </c>
      <c r="F514" s="37">
        <v>25</v>
      </c>
      <c r="G514" s="35">
        <v>10</v>
      </c>
      <c r="H514" s="40">
        <v>4.5</v>
      </c>
      <c r="I514" s="38" t="s">
        <v>372</v>
      </c>
      <c r="J514" s="34">
        <f>IFERROR(_xlfn.XLOOKUP(I514,Index!$A:$A,Index!$B:$B),"")</f>
        <v>578.5</v>
      </c>
      <c r="L514" s="20"/>
      <c r="M514" s="20"/>
      <c r="N514" s="20"/>
      <c r="O514" s="20"/>
    </row>
    <row r="515" spans="1:15" ht="12.75" customHeight="1" x14ac:dyDescent="0.2">
      <c r="A515" s="26"/>
      <c r="B515" s="26"/>
      <c r="C515" s="30"/>
      <c r="D515" s="35" t="s">
        <v>53</v>
      </c>
      <c r="E515" s="36">
        <v>1</v>
      </c>
      <c r="F515" s="37">
        <v>25</v>
      </c>
      <c r="G515" s="35">
        <v>10</v>
      </c>
      <c r="H515" s="40">
        <v>4.5</v>
      </c>
      <c r="I515" s="38" t="s">
        <v>5542</v>
      </c>
      <c r="J515" s="34">
        <f>J514+23</f>
        <v>601.5</v>
      </c>
      <c r="L515" s="20"/>
      <c r="M515" s="20"/>
      <c r="N515" s="20"/>
      <c r="O515" s="20"/>
    </row>
    <row r="516" spans="1:15" ht="12.75" customHeight="1" x14ac:dyDescent="0.2">
      <c r="A516" s="26"/>
      <c r="B516" s="26"/>
      <c r="C516" s="30"/>
      <c r="D516" s="35" t="s">
        <v>55</v>
      </c>
      <c r="E516" s="36">
        <v>1</v>
      </c>
      <c r="F516" s="37">
        <v>25</v>
      </c>
      <c r="G516" s="35">
        <v>10</v>
      </c>
      <c r="H516" s="40">
        <v>4.5</v>
      </c>
      <c r="I516" s="38" t="s">
        <v>5542</v>
      </c>
      <c r="J516" s="34">
        <f>J515</f>
        <v>601.5</v>
      </c>
      <c r="L516" s="20"/>
      <c r="M516" s="20"/>
      <c r="N516" s="20"/>
      <c r="O516" s="20"/>
    </row>
    <row r="517" spans="1:15" ht="12.75" customHeight="1" x14ac:dyDescent="0.2">
      <c r="A517" s="26"/>
      <c r="B517" s="26"/>
      <c r="C517" s="30"/>
      <c r="D517" s="35" t="s">
        <v>176</v>
      </c>
      <c r="E517" s="36" t="s">
        <v>223</v>
      </c>
      <c r="F517" s="37">
        <v>32</v>
      </c>
      <c r="G517" s="35">
        <v>13</v>
      </c>
      <c r="H517" s="40">
        <v>5.9</v>
      </c>
      <c r="I517" s="38" t="s">
        <v>373</v>
      </c>
      <c r="J517" s="34">
        <f>IFERROR(_xlfn.XLOOKUP(I517,Index!$A:$A,Index!$B:$B),"")</f>
        <v>578.5</v>
      </c>
      <c r="L517" s="20"/>
      <c r="M517" s="20"/>
      <c r="N517" s="20"/>
      <c r="O517" s="20"/>
    </row>
    <row r="518" spans="1:15" ht="12.75" customHeight="1" x14ac:dyDescent="0.2">
      <c r="A518" s="26"/>
      <c r="B518" s="26"/>
      <c r="C518" s="30"/>
      <c r="D518" s="35" t="s">
        <v>53</v>
      </c>
      <c r="E518" s="36" t="s">
        <v>223</v>
      </c>
      <c r="F518" s="37">
        <v>32</v>
      </c>
      <c r="G518" s="35">
        <v>13</v>
      </c>
      <c r="H518" s="40">
        <v>5.9</v>
      </c>
      <c r="I518" s="38" t="s">
        <v>5542</v>
      </c>
      <c r="J518" s="34">
        <f>J516</f>
        <v>601.5</v>
      </c>
      <c r="L518" s="20"/>
      <c r="M518" s="20"/>
      <c r="N518" s="20"/>
      <c r="O518" s="20"/>
    </row>
    <row r="519" spans="1:15" ht="12.75" customHeight="1" x14ac:dyDescent="0.2">
      <c r="A519" s="26"/>
      <c r="B519" s="26"/>
      <c r="C519" s="30"/>
      <c r="D519" s="35" t="s">
        <v>55</v>
      </c>
      <c r="E519" s="36" t="s">
        <v>223</v>
      </c>
      <c r="F519" s="37">
        <v>32</v>
      </c>
      <c r="G519" s="35">
        <v>13</v>
      </c>
      <c r="H519" s="40">
        <v>5.9</v>
      </c>
      <c r="I519" s="38" t="s">
        <v>5542</v>
      </c>
      <c r="J519" s="34">
        <f>J518+25</f>
        <v>626.5</v>
      </c>
      <c r="L519" s="20"/>
      <c r="M519" s="20"/>
      <c r="N519" s="20"/>
      <c r="O519" s="20"/>
    </row>
    <row r="520" spans="1:15" ht="12.75" customHeight="1" x14ac:dyDescent="0.2">
      <c r="A520" s="26"/>
      <c r="B520" s="26"/>
      <c r="C520" s="30"/>
      <c r="D520" s="35" t="s">
        <v>176</v>
      </c>
      <c r="E520" s="36" t="s">
        <v>225</v>
      </c>
      <c r="F520" s="37">
        <v>40</v>
      </c>
      <c r="G520" s="35">
        <v>24</v>
      </c>
      <c r="H520" s="40">
        <v>11</v>
      </c>
      <c r="I520" s="38" t="s">
        <v>374</v>
      </c>
      <c r="J520" s="34">
        <f>IFERROR(_xlfn.XLOOKUP(I520,Index!$A:$A,Index!$B:$B),"")</f>
        <v>578.5</v>
      </c>
      <c r="L520" s="20"/>
      <c r="M520" s="20"/>
      <c r="N520" s="20"/>
      <c r="O520" s="20"/>
    </row>
    <row r="521" spans="1:15" ht="12.75" customHeight="1" x14ac:dyDescent="0.2">
      <c r="A521" s="26"/>
      <c r="B521" s="26"/>
      <c r="C521" s="30"/>
      <c r="D521" s="35" t="s">
        <v>53</v>
      </c>
      <c r="E521" s="36" t="s">
        <v>225</v>
      </c>
      <c r="F521" s="37">
        <v>40</v>
      </c>
      <c r="G521" s="35">
        <v>24</v>
      </c>
      <c r="H521" s="40">
        <v>11</v>
      </c>
      <c r="I521" s="38" t="s">
        <v>5542</v>
      </c>
      <c r="J521" s="34">
        <f>J518</f>
        <v>601.5</v>
      </c>
      <c r="L521" s="20"/>
      <c r="M521" s="20"/>
      <c r="N521" s="20"/>
      <c r="O521" s="20"/>
    </row>
    <row r="522" spans="1:15" ht="12.75" customHeight="1" x14ac:dyDescent="0.2">
      <c r="A522" s="26"/>
      <c r="B522" s="26"/>
      <c r="C522" s="30"/>
      <c r="D522" s="35" t="s">
        <v>55</v>
      </c>
      <c r="E522" s="36" t="s">
        <v>225</v>
      </c>
      <c r="F522" s="37">
        <v>40</v>
      </c>
      <c r="G522" s="35">
        <v>24</v>
      </c>
      <c r="H522" s="40">
        <v>11</v>
      </c>
      <c r="I522" s="38" t="s">
        <v>5542</v>
      </c>
      <c r="J522" s="34">
        <f>J519</f>
        <v>626.5</v>
      </c>
      <c r="L522" s="20"/>
      <c r="M522" s="20"/>
      <c r="N522" s="20"/>
      <c r="O522" s="20"/>
    </row>
    <row r="523" spans="1:15" ht="12.75" customHeight="1" x14ac:dyDescent="0.2">
      <c r="A523" s="26"/>
      <c r="B523" s="26"/>
      <c r="C523" s="30"/>
      <c r="D523" s="35" t="s">
        <v>176</v>
      </c>
      <c r="E523" s="36">
        <v>2</v>
      </c>
      <c r="F523" s="37">
        <v>50</v>
      </c>
      <c r="G523" s="35">
        <v>26</v>
      </c>
      <c r="H523" s="40">
        <v>12</v>
      </c>
      <c r="I523" s="38" t="s">
        <v>375</v>
      </c>
      <c r="J523" s="34">
        <f>IFERROR(_xlfn.XLOOKUP(I523,Index!$A:$A,Index!$B:$B),"")</f>
        <v>483</v>
      </c>
      <c r="L523" s="20"/>
      <c r="M523" s="20"/>
      <c r="N523" s="20"/>
      <c r="O523" s="20"/>
    </row>
    <row r="524" spans="1:15" ht="12.75" customHeight="1" x14ac:dyDescent="0.2">
      <c r="A524" s="26"/>
      <c r="B524" s="26"/>
      <c r="C524" s="30"/>
      <c r="D524" s="35" t="s">
        <v>53</v>
      </c>
      <c r="E524" s="36">
        <v>2</v>
      </c>
      <c r="F524" s="37">
        <v>50</v>
      </c>
      <c r="G524" s="35">
        <v>26</v>
      </c>
      <c r="H524" s="40">
        <v>12</v>
      </c>
      <c r="I524" s="38" t="s">
        <v>376</v>
      </c>
      <c r="J524" s="34">
        <f>IFERROR(_xlfn.XLOOKUP(I524,Index!$A:$A,Index!$B:$B),"")</f>
        <v>507.5</v>
      </c>
      <c r="L524" s="20"/>
      <c r="M524" s="20"/>
      <c r="N524" s="20"/>
      <c r="O524" s="20"/>
    </row>
    <row r="525" spans="1:15" ht="12.75" customHeight="1" x14ac:dyDescent="0.2">
      <c r="A525" s="26"/>
      <c r="B525" s="26"/>
      <c r="C525" s="30"/>
      <c r="D525" s="35" t="s">
        <v>55</v>
      </c>
      <c r="E525" s="36">
        <v>2</v>
      </c>
      <c r="F525" s="37">
        <v>50</v>
      </c>
      <c r="G525" s="35">
        <v>26</v>
      </c>
      <c r="H525" s="40">
        <v>12</v>
      </c>
      <c r="I525" s="38" t="s">
        <v>377</v>
      </c>
      <c r="J525" s="34">
        <f>IFERROR(_xlfn.XLOOKUP(I525,Index!$A:$A,Index!$B:$B),"")</f>
        <v>507.5</v>
      </c>
      <c r="L525" s="20"/>
      <c r="M525" s="20"/>
      <c r="N525" s="20"/>
      <c r="O525" s="20"/>
    </row>
    <row r="526" spans="1:15" ht="12.75" customHeight="1" x14ac:dyDescent="0.2">
      <c r="A526" s="26"/>
      <c r="B526" s="26"/>
      <c r="C526" s="30"/>
      <c r="D526" s="35" t="s">
        <v>176</v>
      </c>
      <c r="E526" s="36" t="s">
        <v>231</v>
      </c>
      <c r="F526" s="37">
        <v>65</v>
      </c>
      <c r="G526" s="35">
        <v>40</v>
      </c>
      <c r="H526" s="40">
        <v>18</v>
      </c>
      <c r="I526" s="38" t="s">
        <v>378</v>
      </c>
      <c r="J526" s="34">
        <f>IFERROR(_xlfn.XLOOKUP(I526,Index!$A:$A,Index!$B:$B),"")</f>
        <v>548.5</v>
      </c>
      <c r="L526" s="20"/>
      <c r="M526" s="20"/>
      <c r="N526" s="20"/>
      <c r="O526" s="20"/>
    </row>
    <row r="527" spans="1:15" ht="12.75" customHeight="1" x14ac:dyDescent="0.2">
      <c r="A527" s="26"/>
      <c r="B527" s="26"/>
      <c r="C527" s="30"/>
      <c r="D527" s="35" t="s">
        <v>53</v>
      </c>
      <c r="E527" s="36" t="s">
        <v>231</v>
      </c>
      <c r="F527" s="37">
        <v>65</v>
      </c>
      <c r="G527" s="35">
        <v>40</v>
      </c>
      <c r="H527" s="40">
        <v>18</v>
      </c>
      <c r="I527" s="38" t="s">
        <v>379</v>
      </c>
      <c r="J527" s="34">
        <f>IFERROR(_xlfn.XLOOKUP(I527,Index!$A:$A,Index!$B:$B),"")</f>
        <v>574.5</v>
      </c>
      <c r="L527" s="20"/>
      <c r="M527" s="20"/>
      <c r="N527" s="20"/>
      <c r="O527" s="20"/>
    </row>
    <row r="528" spans="1:15" ht="12.75" customHeight="1" x14ac:dyDescent="0.2">
      <c r="A528" s="26"/>
      <c r="B528" s="26"/>
      <c r="C528" s="30"/>
      <c r="D528" s="35" t="s">
        <v>55</v>
      </c>
      <c r="E528" s="36" t="s">
        <v>231</v>
      </c>
      <c r="F528" s="37">
        <v>65</v>
      </c>
      <c r="G528" s="35">
        <v>40</v>
      </c>
      <c r="H528" s="40">
        <v>18</v>
      </c>
      <c r="I528" s="38" t="s">
        <v>380</v>
      </c>
      <c r="J528" s="34">
        <f>IFERROR(_xlfn.XLOOKUP(I528,Index!$A:$A,Index!$B:$B),"")</f>
        <v>574.5</v>
      </c>
      <c r="L528" s="20"/>
      <c r="M528" s="20"/>
      <c r="N528" s="20"/>
      <c r="O528" s="20"/>
    </row>
    <row r="529" spans="1:15" ht="12.75" customHeight="1" x14ac:dyDescent="0.2">
      <c r="A529" s="26"/>
      <c r="B529" s="26"/>
      <c r="C529" s="30"/>
      <c r="D529" s="35" t="s">
        <v>176</v>
      </c>
      <c r="E529" s="36">
        <v>3</v>
      </c>
      <c r="F529" s="37">
        <v>80</v>
      </c>
      <c r="G529" s="35">
        <v>59</v>
      </c>
      <c r="H529" s="40">
        <v>27</v>
      </c>
      <c r="I529" s="38" t="s">
        <v>381</v>
      </c>
      <c r="J529" s="34">
        <f>IFERROR(_xlfn.XLOOKUP(I529,Index!$A:$A,Index!$B:$B),"")</f>
        <v>657</v>
      </c>
      <c r="L529" s="20"/>
      <c r="M529" s="20"/>
      <c r="N529" s="20"/>
      <c r="O529" s="20"/>
    </row>
    <row r="530" spans="1:15" ht="12.75" customHeight="1" x14ac:dyDescent="0.2">
      <c r="A530" s="26"/>
      <c r="B530" s="26"/>
      <c r="C530" s="30"/>
      <c r="D530" s="35" t="s">
        <v>53</v>
      </c>
      <c r="E530" s="36">
        <v>3</v>
      </c>
      <c r="F530" s="37">
        <v>80</v>
      </c>
      <c r="G530" s="35">
        <v>59</v>
      </c>
      <c r="H530" s="40">
        <v>27</v>
      </c>
      <c r="I530" s="38" t="s">
        <v>382</v>
      </c>
      <c r="J530" s="34">
        <f>IFERROR(_xlfn.XLOOKUP(I530,Index!$A:$A,Index!$B:$B),"")</f>
        <v>690.5</v>
      </c>
      <c r="L530" s="20"/>
      <c r="M530" s="20"/>
      <c r="N530" s="20"/>
      <c r="O530" s="20"/>
    </row>
    <row r="531" spans="1:15" ht="12.75" customHeight="1" x14ac:dyDescent="0.2">
      <c r="A531" s="26"/>
      <c r="B531" s="26"/>
      <c r="C531" s="30"/>
      <c r="D531" s="35" t="s">
        <v>55</v>
      </c>
      <c r="E531" s="36">
        <v>3</v>
      </c>
      <c r="F531" s="37">
        <v>80</v>
      </c>
      <c r="G531" s="35">
        <v>59</v>
      </c>
      <c r="H531" s="40">
        <v>27</v>
      </c>
      <c r="I531" s="38" t="s">
        <v>5542</v>
      </c>
      <c r="J531" s="34">
        <f>J530</f>
        <v>690.5</v>
      </c>
      <c r="L531" s="20"/>
      <c r="M531" s="20"/>
      <c r="N531" s="20"/>
      <c r="O531" s="20"/>
    </row>
    <row r="532" spans="1:15" ht="12.75" customHeight="1" x14ac:dyDescent="0.2">
      <c r="A532" s="26"/>
      <c r="B532" s="26"/>
      <c r="C532" s="30"/>
      <c r="D532" s="35" t="s">
        <v>176</v>
      </c>
      <c r="E532" s="36">
        <v>4</v>
      </c>
      <c r="F532" s="37">
        <v>100</v>
      </c>
      <c r="G532" s="35">
        <v>93</v>
      </c>
      <c r="H532" s="40">
        <v>42</v>
      </c>
      <c r="I532" s="38" t="s">
        <v>384</v>
      </c>
      <c r="J532" s="34">
        <f>IFERROR(_xlfn.XLOOKUP(I532,Index!$A:$A,Index!$B:$B),"")</f>
        <v>1044</v>
      </c>
      <c r="L532" s="20"/>
      <c r="M532" s="20"/>
      <c r="N532" s="20"/>
      <c r="O532" s="20"/>
    </row>
    <row r="533" spans="1:15" ht="12.75" customHeight="1" x14ac:dyDescent="0.2">
      <c r="A533" s="26"/>
      <c r="B533" s="26"/>
      <c r="C533" s="30"/>
      <c r="D533" s="35" t="s">
        <v>53</v>
      </c>
      <c r="E533" s="36">
        <v>4</v>
      </c>
      <c r="F533" s="37">
        <v>100</v>
      </c>
      <c r="G533" s="35">
        <v>93</v>
      </c>
      <c r="H533" s="40">
        <v>42</v>
      </c>
      <c r="I533" s="38" t="s">
        <v>385</v>
      </c>
      <c r="J533" s="34">
        <f>IFERROR(_xlfn.XLOOKUP(I533,Index!$A:$A,Index!$B:$B),"")</f>
        <v>1097</v>
      </c>
      <c r="L533" s="20"/>
      <c r="M533" s="20"/>
      <c r="N533" s="20"/>
      <c r="O533" s="20"/>
    </row>
    <row r="534" spans="1:15" ht="12.75" customHeight="1" x14ac:dyDescent="0.2">
      <c r="A534" s="26"/>
      <c r="B534" s="26"/>
      <c r="C534" s="30"/>
      <c r="D534" s="35" t="s">
        <v>55</v>
      </c>
      <c r="E534" s="36">
        <v>4</v>
      </c>
      <c r="F534" s="37">
        <v>100</v>
      </c>
      <c r="G534" s="35">
        <v>93</v>
      </c>
      <c r="H534" s="40">
        <v>42</v>
      </c>
      <c r="I534" s="38" t="s">
        <v>5542</v>
      </c>
      <c r="J534" s="34">
        <f>J533</f>
        <v>1097</v>
      </c>
      <c r="L534" s="20"/>
      <c r="M534" s="20"/>
      <c r="N534" s="20"/>
      <c r="O534" s="20"/>
    </row>
    <row r="535" spans="1:15" ht="12.75" customHeight="1" x14ac:dyDescent="0.2">
      <c r="A535" s="26"/>
      <c r="B535" s="26"/>
      <c r="C535" s="30"/>
      <c r="D535" s="35" t="s">
        <v>241</v>
      </c>
      <c r="E535" s="36">
        <v>5</v>
      </c>
      <c r="F535" s="37">
        <v>125</v>
      </c>
      <c r="G535" s="35">
        <v>146</v>
      </c>
      <c r="H535" s="40">
        <v>66</v>
      </c>
      <c r="I535" s="38" t="s">
        <v>387</v>
      </c>
      <c r="J535" s="34">
        <f>IFERROR(_xlfn.XLOOKUP(I535,Index!$A:$A,Index!$B:$B),"")</f>
        <v>1671</v>
      </c>
      <c r="L535" s="20"/>
      <c r="M535" s="20"/>
      <c r="N535" s="20"/>
      <c r="O535" s="20"/>
    </row>
    <row r="536" spans="1:15" ht="12.75" customHeight="1" x14ac:dyDescent="0.2">
      <c r="A536" s="26"/>
      <c r="B536" s="26"/>
      <c r="C536" s="30"/>
      <c r="D536" s="35" t="s">
        <v>53</v>
      </c>
      <c r="E536" s="36">
        <v>5</v>
      </c>
      <c r="F536" s="37">
        <v>125</v>
      </c>
      <c r="G536" s="35">
        <v>146</v>
      </c>
      <c r="H536" s="40">
        <v>66</v>
      </c>
      <c r="I536" s="38" t="s">
        <v>388</v>
      </c>
      <c r="J536" s="34">
        <f>IFERROR(_xlfn.XLOOKUP(I536,Index!$A:$A,Index!$B:$B),"")</f>
        <v>1754</v>
      </c>
      <c r="L536" s="20"/>
      <c r="M536" s="20"/>
      <c r="N536" s="20"/>
      <c r="O536" s="20"/>
    </row>
    <row r="537" spans="1:15" ht="12.75" customHeight="1" x14ac:dyDescent="0.2">
      <c r="A537" s="26"/>
      <c r="B537" s="26"/>
      <c r="C537" s="30"/>
      <c r="D537" s="35" t="s">
        <v>55</v>
      </c>
      <c r="E537" s="36">
        <v>5</v>
      </c>
      <c r="F537" s="37">
        <v>125</v>
      </c>
      <c r="G537" s="35">
        <v>146</v>
      </c>
      <c r="H537" s="40">
        <v>66</v>
      </c>
      <c r="I537" s="38" t="s">
        <v>389</v>
      </c>
      <c r="J537" s="34">
        <f>IFERROR(_xlfn.XLOOKUP(I537,Index!$A:$A,Index!$B:$B),"")</f>
        <v>1754</v>
      </c>
      <c r="L537" s="20"/>
      <c r="M537" s="20"/>
      <c r="N537" s="20"/>
      <c r="O537" s="20"/>
    </row>
    <row r="538" spans="1:15" ht="12.75" customHeight="1" x14ac:dyDescent="0.2">
      <c r="A538" s="26"/>
      <c r="B538" s="26"/>
      <c r="C538" s="30"/>
      <c r="D538" s="35" t="s">
        <v>241</v>
      </c>
      <c r="E538" s="36">
        <v>6</v>
      </c>
      <c r="F538" s="37">
        <v>150</v>
      </c>
      <c r="G538" s="35">
        <v>194</v>
      </c>
      <c r="H538" s="40">
        <v>87</v>
      </c>
      <c r="I538" s="38" t="s">
        <v>390</v>
      </c>
      <c r="J538" s="34">
        <f>IFERROR(_xlfn.XLOOKUP(I538,Index!$A:$A,Index!$B:$B),"")</f>
        <v>1843</v>
      </c>
      <c r="L538" s="20"/>
      <c r="M538" s="20"/>
      <c r="N538" s="20"/>
      <c r="O538" s="20"/>
    </row>
    <row r="539" spans="1:15" ht="12.75" customHeight="1" x14ac:dyDescent="0.2">
      <c r="A539" s="26"/>
      <c r="B539" s="26"/>
      <c r="C539" s="30"/>
      <c r="D539" s="35" t="s">
        <v>53</v>
      </c>
      <c r="E539" s="36">
        <v>6</v>
      </c>
      <c r="F539" s="37">
        <v>150</v>
      </c>
      <c r="G539" s="35">
        <v>194</v>
      </c>
      <c r="H539" s="40">
        <v>87</v>
      </c>
      <c r="I539" s="38" t="s">
        <v>391</v>
      </c>
      <c r="J539" s="34">
        <f>IFERROR(_xlfn.XLOOKUP(I539,Index!$A:$A,Index!$B:$B),"")</f>
        <v>1936</v>
      </c>
      <c r="L539" s="20"/>
      <c r="M539" s="20"/>
      <c r="N539" s="20"/>
      <c r="O539" s="20"/>
    </row>
    <row r="540" spans="1:15" ht="12.75" customHeight="1" x14ac:dyDescent="0.2">
      <c r="A540" s="26"/>
      <c r="B540" s="26"/>
      <c r="C540" s="30"/>
      <c r="D540" s="35" t="s">
        <v>55</v>
      </c>
      <c r="E540" s="36">
        <v>6</v>
      </c>
      <c r="F540" s="37">
        <v>150</v>
      </c>
      <c r="G540" s="35">
        <v>194</v>
      </c>
      <c r="H540" s="40">
        <v>87</v>
      </c>
      <c r="I540" s="38" t="s">
        <v>392</v>
      </c>
      <c r="J540" s="34">
        <f>IFERROR(_xlfn.XLOOKUP(I540,Index!$A:$A,Index!$B:$B),"")</f>
        <v>1936</v>
      </c>
      <c r="L540" s="20"/>
      <c r="M540" s="20"/>
      <c r="N540" s="20"/>
      <c r="O540" s="20"/>
    </row>
    <row r="541" spans="1:15" ht="12.75" customHeight="1" x14ac:dyDescent="0.2">
      <c r="A541" s="26"/>
      <c r="B541" s="26"/>
      <c r="C541" s="30"/>
      <c r="D541" s="35" t="s">
        <v>241</v>
      </c>
      <c r="E541" s="36">
        <v>8</v>
      </c>
      <c r="F541" s="37">
        <v>200</v>
      </c>
      <c r="G541" s="35">
        <v>316</v>
      </c>
      <c r="H541" s="40">
        <v>142</v>
      </c>
      <c r="I541" s="38" t="s">
        <v>393</v>
      </c>
      <c r="J541" s="34">
        <f>IFERROR(_xlfn.XLOOKUP(I541,Index!$A:$A,Index!$B:$B),"")</f>
        <v>3405</v>
      </c>
      <c r="L541" s="20"/>
      <c r="M541" s="20"/>
      <c r="N541" s="20"/>
      <c r="O541" s="20"/>
    </row>
    <row r="542" spans="1:15" ht="12.75" customHeight="1" x14ac:dyDescent="0.2">
      <c r="A542" s="26"/>
      <c r="B542" s="26"/>
      <c r="C542" s="30"/>
      <c r="D542" s="35" t="s">
        <v>53</v>
      </c>
      <c r="E542" s="36">
        <v>8</v>
      </c>
      <c r="F542" s="37">
        <v>200</v>
      </c>
      <c r="G542" s="35">
        <v>316</v>
      </c>
      <c r="H542" s="40">
        <v>142</v>
      </c>
      <c r="I542" s="38" t="s">
        <v>5542</v>
      </c>
      <c r="J542" s="34">
        <f>J543</f>
        <v>3574</v>
      </c>
      <c r="L542" s="20"/>
      <c r="M542" s="20"/>
      <c r="N542" s="20"/>
      <c r="O542" s="20"/>
    </row>
    <row r="543" spans="1:15" ht="12.75" customHeight="1" x14ac:dyDescent="0.2">
      <c r="A543" s="26"/>
      <c r="B543" s="26"/>
      <c r="C543" s="30"/>
      <c r="D543" s="35" t="s">
        <v>55</v>
      </c>
      <c r="E543" s="36">
        <v>8</v>
      </c>
      <c r="F543" s="37">
        <v>200</v>
      </c>
      <c r="G543" s="35">
        <v>316</v>
      </c>
      <c r="H543" s="40">
        <v>142</v>
      </c>
      <c r="I543" s="38" t="s">
        <v>395</v>
      </c>
      <c r="J543" s="34">
        <f>IFERROR(_xlfn.XLOOKUP(I543,Index!$A:$A,Index!$B:$B),"")</f>
        <v>3574</v>
      </c>
      <c r="L543" s="20"/>
      <c r="M543" s="20"/>
      <c r="N543" s="20"/>
      <c r="O543" s="20"/>
    </row>
    <row r="544" spans="1:15" ht="12.75" customHeight="1" x14ac:dyDescent="0.2">
      <c r="A544" s="26"/>
      <c r="B544" s="26"/>
      <c r="C544" s="30"/>
      <c r="D544" s="35" t="s">
        <v>241</v>
      </c>
      <c r="E544" s="36">
        <v>10</v>
      </c>
      <c r="F544" s="37">
        <v>250</v>
      </c>
      <c r="G544" s="35">
        <v>475</v>
      </c>
      <c r="H544" s="40">
        <v>214</v>
      </c>
      <c r="I544" s="38" t="s">
        <v>396</v>
      </c>
      <c r="J544" s="34">
        <f>IFERROR(_xlfn.XLOOKUP(I544,Index!$A:$A,Index!$B:$B),"")</f>
        <v>6368</v>
      </c>
      <c r="L544" s="20"/>
      <c r="M544" s="20"/>
      <c r="N544" s="20"/>
      <c r="O544" s="20"/>
    </row>
    <row r="545" spans="1:15" ht="12.75" customHeight="1" x14ac:dyDescent="0.2">
      <c r="A545" s="26"/>
      <c r="B545" s="26"/>
      <c r="C545" s="30"/>
      <c r="D545" s="35" t="s">
        <v>53</v>
      </c>
      <c r="E545" s="36">
        <v>10</v>
      </c>
      <c r="F545" s="37">
        <v>250</v>
      </c>
      <c r="G545" s="35">
        <v>475</v>
      </c>
      <c r="H545" s="40">
        <v>214</v>
      </c>
      <c r="I545" s="38" t="s">
        <v>397</v>
      </c>
      <c r="J545" s="34">
        <f>IFERROR(_xlfn.XLOOKUP(I545,Index!$A:$A,Index!$B:$B),"")</f>
        <v>6687</v>
      </c>
      <c r="L545" s="20"/>
      <c r="M545" s="20"/>
      <c r="N545" s="20"/>
      <c r="O545" s="20"/>
    </row>
    <row r="546" spans="1:15" ht="12.75" customHeight="1" x14ac:dyDescent="0.2">
      <c r="A546" s="26"/>
      <c r="B546" s="26"/>
      <c r="C546" s="30"/>
      <c r="D546" s="35" t="s">
        <v>55</v>
      </c>
      <c r="E546" s="36">
        <v>10</v>
      </c>
      <c r="F546" s="37">
        <v>250</v>
      </c>
      <c r="G546" s="35">
        <v>475</v>
      </c>
      <c r="H546" s="40">
        <v>214</v>
      </c>
      <c r="I546" s="38" t="s">
        <v>5542</v>
      </c>
      <c r="J546" s="34">
        <f>J545</f>
        <v>6687</v>
      </c>
      <c r="L546" s="20"/>
      <c r="M546" s="20"/>
      <c r="N546" s="20"/>
      <c r="O546" s="20"/>
    </row>
    <row r="547" spans="1:15" ht="12.75" customHeight="1" x14ac:dyDescent="0.2">
      <c r="A547" s="26"/>
      <c r="B547" s="26"/>
      <c r="C547" s="30"/>
      <c r="D547" s="35" t="s">
        <v>241</v>
      </c>
      <c r="E547" s="36">
        <v>12</v>
      </c>
      <c r="F547" s="37">
        <v>300</v>
      </c>
      <c r="G547" s="35">
        <v>750</v>
      </c>
      <c r="H547" s="40">
        <v>338</v>
      </c>
      <c r="I547" s="38" t="s">
        <v>398</v>
      </c>
      <c r="J547" s="34">
        <f>IFERROR(_xlfn.XLOOKUP(I547,Index!$A:$A,Index!$B:$B),"")</f>
        <v>9479</v>
      </c>
      <c r="L547" s="20"/>
      <c r="M547" s="20"/>
      <c r="N547" s="20"/>
      <c r="O547" s="20"/>
    </row>
    <row r="548" spans="1:15" ht="12.75" customHeight="1" x14ac:dyDescent="0.2">
      <c r="A548" s="26"/>
      <c r="B548" s="26"/>
      <c r="C548" s="30"/>
      <c r="D548" s="35" t="s">
        <v>53</v>
      </c>
      <c r="E548" s="36">
        <v>12</v>
      </c>
      <c r="F548" s="37">
        <v>300</v>
      </c>
      <c r="G548" s="35">
        <v>750</v>
      </c>
      <c r="H548" s="40">
        <v>338</v>
      </c>
      <c r="I548" s="38" t="s">
        <v>5542</v>
      </c>
      <c r="J548" s="34">
        <f>J547*1.05</f>
        <v>9952.9500000000007</v>
      </c>
      <c r="L548" s="20"/>
      <c r="M548" s="20"/>
      <c r="N548" s="20"/>
      <c r="O548" s="20"/>
    </row>
    <row r="549" spans="1:15" ht="12.75" customHeight="1" x14ac:dyDescent="0.2">
      <c r="A549" s="26"/>
      <c r="B549" s="26"/>
      <c r="C549" s="30"/>
      <c r="D549" s="35" t="s">
        <v>55</v>
      </c>
      <c r="E549" s="36">
        <v>12</v>
      </c>
      <c r="F549" s="37">
        <v>300</v>
      </c>
      <c r="G549" s="35">
        <v>750</v>
      </c>
      <c r="H549" s="40">
        <v>338</v>
      </c>
      <c r="I549" s="38" t="s">
        <v>5542</v>
      </c>
      <c r="J549" s="34">
        <f>J548</f>
        <v>9952.9500000000007</v>
      </c>
      <c r="L549" s="20"/>
      <c r="M549" s="20"/>
      <c r="N549" s="20"/>
      <c r="O549" s="20"/>
    </row>
    <row r="550" spans="1:15" ht="12.75" customHeight="1" x14ac:dyDescent="0.2">
      <c r="A550" s="26"/>
      <c r="B550" s="26"/>
      <c r="C550" s="30"/>
      <c r="D550" s="35" t="s">
        <v>241</v>
      </c>
      <c r="E550" s="36">
        <v>14</v>
      </c>
      <c r="F550" s="37">
        <v>350</v>
      </c>
      <c r="G550" s="35">
        <v>908</v>
      </c>
      <c r="H550" s="40">
        <v>412</v>
      </c>
      <c r="I550" s="38" t="s">
        <v>399</v>
      </c>
      <c r="J550" s="34">
        <f>IFERROR(_xlfn.XLOOKUP(I550,Index!$A:$A,Index!$B:$B),"")</f>
        <v>12890</v>
      </c>
      <c r="L550" s="20"/>
      <c r="M550" s="20"/>
      <c r="N550" s="20"/>
      <c r="O550" s="20"/>
    </row>
    <row r="551" spans="1:15" ht="12.75" customHeight="1" x14ac:dyDescent="0.2">
      <c r="A551" s="26"/>
      <c r="B551" s="26"/>
      <c r="C551" s="30"/>
      <c r="D551" s="35" t="s">
        <v>53</v>
      </c>
      <c r="E551" s="36">
        <v>14</v>
      </c>
      <c r="F551" s="37">
        <v>350</v>
      </c>
      <c r="G551" s="35">
        <v>908</v>
      </c>
      <c r="H551" s="40">
        <v>412</v>
      </c>
      <c r="I551" s="38" t="s">
        <v>5542</v>
      </c>
      <c r="J551" s="34">
        <f>J550+516</f>
        <v>13406</v>
      </c>
      <c r="L551" s="20"/>
      <c r="M551" s="20"/>
      <c r="N551" s="20"/>
      <c r="O551" s="20"/>
    </row>
    <row r="552" spans="1:15" ht="12.75" customHeight="1" x14ac:dyDescent="0.2">
      <c r="A552" s="26"/>
      <c r="B552" s="26"/>
      <c r="C552" s="30"/>
      <c r="D552" s="35" t="s">
        <v>55</v>
      </c>
      <c r="E552" s="36">
        <v>14</v>
      </c>
      <c r="F552" s="37">
        <v>350</v>
      </c>
      <c r="G552" s="35">
        <v>908</v>
      </c>
      <c r="H552" s="40">
        <v>412</v>
      </c>
      <c r="I552" s="38" t="s">
        <v>5542</v>
      </c>
      <c r="J552" s="34">
        <f>J551</f>
        <v>13406</v>
      </c>
      <c r="L552" s="20"/>
      <c r="M552" s="20"/>
      <c r="N552" s="20"/>
      <c r="O552" s="20"/>
    </row>
    <row r="553" spans="1:15" ht="12.75" customHeight="1" x14ac:dyDescent="0.2">
      <c r="A553" s="26"/>
      <c r="B553" s="26"/>
      <c r="C553" s="30"/>
      <c r="D553" s="35" t="s">
        <v>241</v>
      </c>
      <c r="E553" s="36">
        <v>16</v>
      </c>
      <c r="F553" s="37">
        <v>400</v>
      </c>
      <c r="G553" s="35">
        <v>1135</v>
      </c>
      <c r="H553" s="40">
        <v>515</v>
      </c>
      <c r="I553" s="38" t="s">
        <v>400</v>
      </c>
      <c r="J553" s="34">
        <f>IFERROR(_xlfn.XLOOKUP(I553,Index!$A:$A,Index!$B:$B),"")</f>
        <v>17529</v>
      </c>
      <c r="L553" s="20"/>
      <c r="M553" s="20"/>
      <c r="N553" s="20"/>
      <c r="O553" s="20"/>
    </row>
    <row r="554" spans="1:15" ht="12.75" customHeight="1" x14ac:dyDescent="0.2">
      <c r="A554" s="26"/>
      <c r="B554" s="26"/>
      <c r="C554" s="30"/>
      <c r="D554" s="35" t="s">
        <v>53</v>
      </c>
      <c r="E554" s="36">
        <v>16</v>
      </c>
      <c r="F554" s="37">
        <v>400</v>
      </c>
      <c r="G554" s="35">
        <v>1135</v>
      </c>
      <c r="H554" s="40">
        <v>515</v>
      </c>
      <c r="I554" s="38" t="s">
        <v>5542</v>
      </c>
      <c r="J554" s="34">
        <f>J553+701</f>
        <v>18230</v>
      </c>
      <c r="L554" s="20"/>
      <c r="M554" s="20"/>
      <c r="N554" s="20"/>
      <c r="O554" s="20"/>
    </row>
    <row r="555" spans="1:15" ht="12.75" customHeight="1" x14ac:dyDescent="0.2">
      <c r="A555" s="26"/>
      <c r="B555" s="26"/>
      <c r="C555" s="30"/>
      <c r="D555" s="35" t="s">
        <v>55</v>
      </c>
      <c r="E555" s="36">
        <v>16</v>
      </c>
      <c r="F555" s="37">
        <v>400</v>
      </c>
      <c r="G555" s="35">
        <v>1135</v>
      </c>
      <c r="H555" s="40">
        <v>515</v>
      </c>
      <c r="I555" s="38" t="s">
        <v>5542</v>
      </c>
      <c r="J555" s="34">
        <f>J554</f>
        <v>18230</v>
      </c>
      <c r="L555" s="20"/>
      <c r="M555" s="20"/>
      <c r="N555" s="20"/>
      <c r="O555" s="20"/>
    </row>
    <row r="556" spans="1:15" ht="12.75" customHeight="1" x14ac:dyDescent="0.2">
      <c r="A556" s="26"/>
      <c r="B556" s="26"/>
      <c r="C556" s="30"/>
      <c r="D556" s="35" t="s">
        <v>241</v>
      </c>
      <c r="E556" s="36">
        <v>18</v>
      </c>
      <c r="F556" s="37">
        <v>450</v>
      </c>
      <c r="G556" s="35">
        <v>2400</v>
      </c>
      <c r="H556" s="40">
        <v>1090</v>
      </c>
      <c r="I556" s="38" t="s">
        <v>401</v>
      </c>
      <c r="J556" s="34">
        <f>IFERROR(_xlfn.XLOOKUP(I556,Index!$A:$A,Index!$B:$B),"")</f>
        <v>23839</v>
      </c>
      <c r="L556" s="20"/>
      <c r="M556" s="20"/>
      <c r="N556" s="20"/>
      <c r="O556" s="20"/>
    </row>
    <row r="557" spans="1:15" ht="12.75" customHeight="1" x14ac:dyDescent="0.2">
      <c r="A557" s="26"/>
      <c r="B557" s="26"/>
      <c r="C557" s="30"/>
      <c r="D557" s="35" t="s">
        <v>53</v>
      </c>
      <c r="E557" s="36">
        <v>18</v>
      </c>
      <c r="F557" s="37">
        <v>450</v>
      </c>
      <c r="G557" s="35">
        <v>2400</v>
      </c>
      <c r="H557" s="40">
        <v>1090</v>
      </c>
      <c r="I557" s="38" t="s">
        <v>5542</v>
      </c>
      <c r="J557" s="34">
        <f>J556+954</f>
        <v>24793</v>
      </c>
      <c r="L557" s="20"/>
      <c r="M557" s="20"/>
      <c r="N557" s="20"/>
      <c r="O557" s="20"/>
    </row>
    <row r="558" spans="1:15" ht="12.75" customHeight="1" x14ac:dyDescent="0.2">
      <c r="A558" s="26"/>
      <c r="B558" s="26"/>
      <c r="C558" s="30"/>
      <c r="D558" s="35" t="s">
        <v>55</v>
      </c>
      <c r="E558" s="36">
        <v>18</v>
      </c>
      <c r="F558" s="37">
        <v>450</v>
      </c>
      <c r="G558" s="35">
        <v>2400</v>
      </c>
      <c r="H558" s="40">
        <v>1090</v>
      </c>
      <c r="I558" s="38" t="s">
        <v>5542</v>
      </c>
      <c r="J558" s="34">
        <f>J557</f>
        <v>24793</v>
      </c>
      <c r="L558" s="20"/>
      <c r="M558" s="20"/>
      <c r="N558" s="20"/>
      <c r="O558" s="20"/>
    </row>
    <row r="559" spans="1:15" ht="12.75" customHeight="1" x14ac:dyDescent="0.2">
      <c r="A559" s="26"/>
      <c r="B559" s="26"/>
      <c r="C559" s="30"/>
      <c r="D559" s="35" t="s">
        <v>241</v>
      </c>
      <c r="E559" s="36">
        <v>20</v>
      </c>
      <c r="F559" s="37">
        <v>500</v>
      </c>
      <c r="G559" s="35">
        <v>3350</v>
      </c>
      <c r="H559" s="40">
        <v>1522</v>
      </c>
      <c r="I559" s="38" t="s">
        <v>402</v>
      </c>
      <c r="J559" s="34">
        <f>IFERROR(_xlfn.XLOOKUP(I559,Index!$A:$A,Index!$B:$B),"")</f>
        <v>32420</v>
      </c>
      <c r="L559" s="20"/>
      <c r="M559" s="20"/>
      <c r="N559" s="20"/>
      <c r="O559" s="20"/>
    </row>
    <row r="560" spans="1:15" ht="12.75" customHeight="1" x14ac:dyDescent="0.2">
      <c r="A560" s="26"/>
      <c r="B560" s="26"/>
      <c r="C560" s="30"/>
      <c r="D560" s="35" t="s">
        <v>53</v>
      </c>
      <c r="E560" s="36">
        <v>20</v>
      </c>
      <c r="F560" s="37">
        <v>500</v>
      </c>
      <c r="G560" s="35">
        <v>3350</v>
      </c>
      <c r="H560" s="40">
        <v>1522</v>
      </c>
      <c r="I560" s="38" t="s">
        <v>5542</v>
      </c>
      <c r="J560" s="34">
        <f>J559+1297</f>
        <v>33717</v>
      </c>
      <c r="L560" s="20"/>
      <c r="M560" s="20"/>
      <c r="N560" s="20"/>
      <c r="O560" s="20"/>
    </row>
    <row r="561" spans="1:15" ht="12.75" customHeight="1" x14ac:dyDescent="0.2">
      <c r="A561" s="26"/>
      <c r="B561" s="26"/>
      <c r="C561" s="30"/>
      <c r="D561" s="35" t="s">
        <v>55</v>
      </c>
      <c r="E561" s="36">
        <v>20</v>
      </c>
      <c r="F561" s="37">
        <v>500</v>
      </c>
      <c r="G561" s="35">
        <v>3350</v>
      </c>
      <c r="H561" s="40">
        <v>1522</v>
      </c>
      <c r="I561" s="38" t="s">
        <v>5542</v>
      </c>
      <c r="J561" s="34">
        <f>J560</f>
        <v>33717</v>
      </c>
      <c r="L561" s="20"/>
      <c r="M561" s="20"/>
      <c r="N561" s="20"/>
      <c r="O561" s="20"/>
    </row>
    <row r="562" spans="1:15" ht="12.75" customHeight="1" x14ac:dyDescent="0.2">
      <c r="A562" s="26"/>
      <c r="B562" s="26"/>
      <c r="C562" s="30"/>
      <c r="D562" s="35" t="s">
        <v>241</v>
      </c>
      <c r="E562" s="36">
        <v>24</v>
      </c>
      <c r="F562" s="37">
        <v>550</v>
      </c>
      <c r="G562" s="35">
        <v>4705</v>
      </c>
      <c r="H562" s="40">
        <v>2138</v>
      </c>
      <c r="I562" s="38" t="s">
        <v>261</v>
      </c>
      <c r="J562" s="34">
        <f>IFERROR(_xlfn.XLOOKUP(I562,Index!$A:$A,Index!$B:$B),"")</f>
        <v>43847</v>
      </c>
      <c r="L562" s="20"/>
      <c r="M562" s="20"/>
      <c r="N562" s="20"/>
      <c r="O562" s="20"/>
    </row>
    <row r="563" spans="1:15" ht="12.75" customHeight="1" x14ac:dyDescent="0.2">
      <c r="A563" s="26"/>
      <c r="B563" s="26"/>
      <c r="C563" s="30"/>
      <c r="D563" s="35" t="s">
        <v>53</v>
      </c>
      <c r="E563" s="36">
        <v>24</v>
      </c>
      <c r="F563" s="37">
        <v>550</v>
      </c>
      <c r="G563" s="35">
        <v>4705</v>
      </c>
      <c r="H563" s="40">
        <v>2138</v>
      </c>
      <c r="I563" s="38" t="s">
        <v>5542</v>
      </c>
      <c r="J563" s="34">
        <f>J562+1764</f>
        <v>45611</v>
      </c>
      <c r="L563" s="20"/>
      <c r="M563" s="20"/>
      <c r="N563" s="20"/>
      <c r="O563" s="20"/>
    </row>
    <row r="564" spans="1:15" ht="12.75" customHeight="1" x14ac:dyDescent="0.2">
      <c r="A564" s="27"/>
      <c r="B564" s="27"/>
      <c r="C564" s="31"/>
      <c r="D564" s="35" t="s">
        <v>55</v>
      </c>
      <c r="E564" s="36">
        <v>24</v>
      </c>
      <c r="F564" s="37">
        <v>550</v>
      </c>
      <c r="G564" s="35">
        <v>4705</v>
      </c>
      <c r="H564" s="40">
        <v>2138</v>
      </c>
      <c r="I564" s="38" t="s">
        <v>5542</v>
      </c>
      <c r="J564" s="34">
        <f>J563</f>
        <v>45611</v>
      </c>
      <c r="L564" s="20"/>
      <c r="M564" s="20"/>
      <c r="N564" s="20"/>
      <c r="O564" s="20"/>
    </row>
    <row r="565" spans="1:15" ht="12.75" customHeight="1" x14ac:dyDescent="0.2">
      <c r="A565" s="12"/>
      <c r="B565" s="12"/>
      <c r="C565" s="4"/>
      <c r="D565" s="4"/>
      <c r="E565" s="5"/>
      <c r="F565" s="21"/>
      <c r="G565" s="4"/>
      <c r="L565" s="20"/>
      <c r="M565" s="20"/>
      <c r="N565" s="20"/>
      <c r="O565" s="20"/>
    </row>
    <row r="566" spans="1:15" ht="12.75" customHeight="1" x14ac:dyDescent="0.2">
      <c r="A566" s="12"/>
      <c r="B566" s="12"/>
      <c r="C566" s="4"/>
      <c r="D566" s="4"/>
      <c r="E566" s="5"/>
      <c r="F566" s="13"/>
      <c r="G566" s="4"/>
      <c r="L566" s="20"/>
      <c r="M566" s="20"/>
      <c r="N566" s="20"/>
      <c r="O566" s="20"/>
    </row>
    <row r="567" spans="1:15" ht="17.100000000000001" customHeight="1" x14ac:dyDescent="0.2">
      <c r="A567" s="47" t="s">
        <v>2987</v>
      </c>
      <c r="B567" s="62" t="s">
        <v>33</v>
      </c>
      <c r="D567" s="49"/>
      <c r="E567" s="50"/>
      <c r="F567" s="51"/>
      <c r="G567" s="52"/>
      <c r="H567" s="53"/>
      <c r="I567" s="53"/>
      <c r="J567" s="54"/>
      <c r="L567" s="20"/>
      <c r="M567" s="20"/>
      <c r="N567" s="20"/>
      <c r="O567" s="20"/>
    </row>
    <row r="568" spans="1:15" ht="19.350000000000001" customHeight="1" x14ac:dyDescent="0.2">
      <c r="A568" s="48" t="s">
        <v>403</v>
      </c>
      <c r="B568" s="217"/>
      <c r="C568" s="58"/>
      <c r="D568" s="58"/>
      <c r="E568" s="59"/>
      <c r="F568" s="51"/>
      <c r="G568" s="58"/>
      <c r="H568" s="53"/>
      <c r="I568" s="53"/>
      <c r="J568" s="54"/>
      <c r="L568" s="20"/>
      <c r="M568" s="20"/>
      <c r="N568" s="20"/>
      <c r="O568" s="20"/>
    </row>
    <row r="569" spans="1:15" ht="12.75" customHeight="1" x14ac:dyDescent="0.2">
      <c r="A569" s="25" t="s">
        <v>35</v>
      </c>
      <c r="B569" s="28" t="s">
        <v>36</v>
      </c>
      <c r="C569" s="333" t="s">
        <v>37</v>
      </c>
      <c r="D569" s="334"/>
      <c r="E569" s="335" t="s">
        <v>38</v>
      </c>
      <c r="F569" s="336"/>
      <c r="G569" s="335" t="s">
        <v>39</v>
      </c>
      <c r="H569" s="336"/>
      <c r="I569" s="42" t="s">
        <v>40</v>
      </c>
      <c r="J569" s="43" t="s">
        <v>41</v>
      </c>
      <c r="L569" s="20"/>
      <c r="M569" s="20"/>
      <c r="N569" s="20"/>
      <c r="O569" s="20"/>
    </row>
    <row r="570" spans="1:15" ht="12.75" customHeight="1" x14ac:dyDescent="0.2">
      <c r="A570" s="32"/>
      <c r="B570" s="32"/>
      <c r="C570" s="33" t="s">
        <v>42</v>
      </c>
      <c r="D570" s="33" t="s">
        <v>43</v>
      </c>
      <c r="E570" s="33" t="s">
        <v>44</v>
      </c>
      <c r="F570" s="33" t="s">
        <v>45</v>
      </c>
      <c r="G570" s="33" t="s">
        <v>46</v>
      </c>
      <c r="H570" s="33" t="s">
        <v>47</v>
      </c>
      <c r="I570" s="33"/>
      <c r="J570" s="44"/>
      <c r="L570" s="20"/>
      <c r="M570" s="20"/>
      <c r="N570" s="20"/>
      <c r="O570" s="20"/>
    </row>
    <row r="571" spans="1:15" ht="12.75" customHeight="1" x14ac:dyDescent="0.2">
      <c r="A571" s="26" t="s">
        <v>404</v>
      </c>
      <c r="B571" s="26" t="s">
        <v>216</v>
      </c>
      <c r="C571" s="30" t="s">
        <v>50</v>
      </c>
      <c r="D571" s="35" t="s">
        <v>176</v>
      </c>
      <c r="E571" s="36">
        <v>2</v>
      </c>
      <c r="F571" s="45">
        <v>50</v>
      </c>
      <c r="G571" s="35">
        <v>26</v>
      </c>
      <c r="H571" s="38">
        <v>12</v>
      </c>
      <c r="I571" s="38" t="s">
        <v>405</v>
      </c>
      <c r="J571" s="34">
        <f>IFERROR(_xlfn.XLOOKUP(I571,Index!$A:$A,Index!$B:$B),"")</f>
        <v>347.5</v>
      </c>
      <c r="L571" s="20"/>
      <c r="M571" s="20"/>
      <c r="N571" s="20"/>
      <c r="O571" s="20"/>
    </row>
    <row r="572" spans="1:15" ht="12.75" customHeight="1" x14ac:dyDescent="0.2">
      <c r="A572" s="26"/>
      <c r="B572" s="26"/>
      <c r="C572" s="30"/>
      <c r="D572" s="35" t="s">
        <v>176</v>
      </c>
      <c r="E572" s="36" t="s">
        <v>231</v>
      </c>
      <c r="F572" s="45">
        <v>65</v>
      </c>
      <c r="G572" s="35">
        <v>40</v>
      </c>
      <c r="H572" s="38">
        <v>18</v>
      </c>
      <c r="I572" s="38" t="s">
        <v>406</v>
      </c>
      <c r="J572" s="34">
        <f>IFERROR(_xlfn.XLOOKUP(I572,Index!$A:$A,Index!$B:$B),"")</f>
        <v>393.5</v>
      </c>
      <c r="L572" s="20"/>
      <c r="M572" s="20"/>
      <c r="N572" s="20"/>
      <c r="O572" s="20"/>
    </row>
    <row r="573" spans="1:15" ht="12.75" customHeight="1" x14ac:dyDescent="0.2">
      <c r="A573" s="26"/>
      <c r="B573" s="26"/>
      <c r="C573" s="30"/>
      <c r="D573" s="35" t="s">
        <v>176</v>
      </c>
      <c r="E573" s="36">
        <v>3</v>
      </c>
      <c r="F573" s="45">
        <v>80</v>
      </c>
      <c r="G573" s="35">
        <v>59</v>
      </c>
      <c r="H573" s="38">
        <v>27</v>
      </c>
      <c r="I573" s="38" t="s">
        <v>407</v>
      </c>
      <c r="J573" s="34">
        <f>IFERROR(_xlfn.XLOOKUP(I573,Index!$A:$A,Index!$B:$B),"")</f>
        <v>472</v>
      </c>
      <c r="L573" s="20"/>
      <c r="M573" s="20"/>
      <c r="N573" s="20"/>
      <c r="O573" s="20"/>
    </row>
    <row r="574" spans="1:15" ht="12.75" customHeight="1" x14ac:dyDescent="0.2">
      <c r="A574" s="26"/>
      <c r="B574" s="26"/>
      <c r="C574" s="30"/>
      <c r="D574" s="35" t="s">
        <v>176</v>
      </c>
      <c r="E574" s="36">
        <v>4</v>
      </c>
      <c r="F574" s="45">
        <v>100</v>
      </c>
      <c r="G574" s="35">
        <v>93</v>
      </c>
      <c r="H574" s="38">
        <v>42</v>
      </c>
      <c r="I574" s="38" t="s">
        <v>408</v>
      </c>
      <c r="J574" s="34">
        <f>IFERROR(_xlfn.XLOOKUP(I574,Index!$A:$A,Index!$B:$B),"")</f>
        <v>749</v>
      </c>
      <c r="L574" s="20"/>
      <c r="M574" s="20"/>
      <c r="N574" s="20"/>
      <c r="O574" s="20"/>
    </row>
    <row r="575" spans="1:15" ht="12.75" customHeight="1" x14ac:dyDescent="0.2">
      <c r="A575" s="26"/>
      <c r="B575" s="26"/>
      <c r="C575" s="30"/>
      <c r="D575" s="35" t="s">
        <v>241</v>
      </c>
      <c r="E575" s="36">
        <v>5</v>
      </c>
      <c r="F575" s="45">
        <v>125</v>
      </c>
      <c r="G575" s="35">
        <v>146</v>
      </c>
      <c r="H575" s="38">
        <v>66</v>
      </c>
      <c r="I575" s="38" t="s">
        <v>409</v>
      </c>
      <c r="J575" s="34">
        <f>IFERROR(_xlfn.XLOOKUP(I575,Index!$A:$A,Index!$B:$B),"")</f>
        <v>1200</v>
      </c>
      <c r="L575" s="20"/>
      <c r="M575" s="20"/>
      <c r="N575" s="20"/>
      <c r="O575" s="20"/>
    </row>
    <row r="576" spans="1:15" ht="12.75" customHeight="1" x14ac:dyDescent="0.2">
      <c r="A576" s="26"/>
      <c r="B576" s="26"/>
      <c r="C576" s="30"/>
      <c r="D576" s="35" t="s">
        <v>241</v>
      </c>
      <c r="E576" s="36">
        <v>6</v>
      </c>
      <c r="F576" s="45">
        <v>150</v>
      </c>
      <c r="G576" s="35">
        <v>194</v>
      </c>
      <c r="H576" s="38">
        <v>87</v>
      </c>
      <c r="I576" s="38" t="s">
        <v>410</v>
      </c>
      <c r="J576" s="34">
        <f>IFERROR(_xlfn.XLOOKUP(I576,Index!$A:$A,Index!$B:$B),"")</f>
        <v>1323</v>
      </c>
      <c r="L576" s="20"/>
      <c r="M576" s="20"/>
      <c r="N576" s="20"/>
      <c r="O576" s="20"/>
    </row>
    <row r="577" spans="1:20" ht="12.75" customHeight="1" x14ac:dyDescent="0.2">
      <c r="A577" s="26"/>
      <c r="B577" s="26"/>
      <c r="C577" s="30"/>
      <c r="D577" s="35" t="s">
        <v>241</v>
      </c>
      <c r="E577" s="36">
        <v>8</v>
      </c>
      <c r="F577" s="45">
        <v>200</v>
      </c>
      <c r="G577" s="35">
        <v>316</v>
      </c>
      <c r="H577" s="38">
        <v>142</v>
      </c>
      <c r="I577" s="38" t="s">
        <v>411</v>
      </c>
      <c r="J577" s="34">
        <f>IFERROR(_xlfn.XLOOKUP(I577,Index!$A:$A,Index!$B:$B),"")</f>
        <v>2444</v>
      </c>
      <c r="L577" s="20"/>
      <c r="M577" s="20"/>
      <c r="N577" s="20"/>
      <c r="O577" s="20"/>
    </row>
    <row r="578" spans="1:20" ht="12.75" customHeight="1" x14ac:dyDescent="0.2">
      <c r="A578" s="26"/>
      <c r="B578" s="26"/>
      <c r="C578" s="30"/>
      <c r="D578" s="35" t="s">
        <v>241</v>
      </c>
      <c r="E578" s="36">
        <v>10</v>
      </c>
      <c r="F578" s="45">
        <v>250</v>
      </c>
      <c r="G578" s="35">
        <v>475</v>
      </c>
      <c r="H578" s="38">
        <v>214</v>
      </c>
      <c r="I578" s="38" t="s">
        <v>412</v>
      </c>
      <c r="J578" s="34">
        <f>IFERROR(_xlfn.XLOOKUP(I578,Index!$A:$A,Index!$B:$B),"")</f>
        <v>4572</v>
      </c>
      <c r="L578" s="20"/>
      <c r="M578" s="20"/>
      <c r="N578" s="20"/>
      <c r="O578" s="20"/>
    </row>
    <row r="579" spans="1:20" ht="12.75" customHeight="1" x14ac:dyDescent="0.2">
      <c r="A579" s="26"/>
      <c r="B579" s="26"/>
      <c r="C579" s="30"/>
      <c r="D579" s="35" t="s">
        <v>241</v>
      </c>
      <c r="E579" s="36">
        <v>12</v>
      </c>
      <c r="F579" s="45">
        <v>300</v>
      </c>
      <c r="G579" s="35">
        <v>750</v>
      </c>
      <c r="H579" s="38">
        <v>338</v>
      </c>
      <c r="I579" s="38" t="s">
        <v>413</v>
      </c>
      <c r="J579" s="34">
        <f>IFERROR(_xlfn.XLOOKUP(I579,Index!$A:$A,Index!$B:$B),"")</f>
        <v>6806</v>
      </c>
      <c r="L579" s="20"/>
      <c r="M579" s="20"/>
      <c r="N579" s="20"/>
      <c r="O579" s="20"/>
    </row>
    <row r="580" spans="1:20" ht="12.75" customHeight="1" x14ac:dyDescent="0.2">
      <c r="A580" s="26"/>
      <c r="B580" s="26"/>
      <c r="C580" s="30"/>
      <c r="D580" s="35" t="s">
        <v>241</v>
      </c>
      <c r="E580" s="36">
        <v>14</v>
      </c>
      <c r="F580" s="45">
        <v>350</v>
      </c>
      <c r="G580" s="35">
        <v>908</v>
      </c>
      <c r="H580" s="38">
        <v>412</v>
      </c>
      <c r="I580" s="38" t="s">
        <v>414</v>
      </c>
      <c r="J580" s="34">
        <f>IFERROR(_xlfn.XLOOKUP(I580,Index!$A:$A,Index!$B:$B),"")</f>
        <v>9800</v>
      </c>
      <c r="L580" s="20"/>
      <c r="M580" s="20"/>
      <c r="N580" s="20"/>
      <c r="O580" s="20"/>
    </row>
    <row r="581" spans="1:20" ht="12.75" customHeight="1" x14ac:dyDescent="0.2">
      <c r="A581" s="26"/>
      <c r="B581" s="26"/>
      <c r="C581" s="30"/>
      <c r="D581" s="35" t="s">
        <v>241</v>
      </c>
      <c r="E581" s="36">
        <v>16</v>
      </c>
      <c r="F581" s="45">
        <v>400</v>
      </c>
      <c r="G581" s="35">
        <v>1135</v>
      </c>
      <c r="H581" s="38">
        <v>515</v>
      </c>
      <c r="I581" s="38" t="s">
        <v>415</v>
      </c>
      <c r="J581" s="34">
        <f>IFERROR(_xlfn.XLOOKUP(I581,Index!$A:$A,Index!$B:$B),"")</f>
        <v>13872</v>
      </c>
      <c r="L581" s="20"/>
      <c r="M581" s="20"/>
      <c r="N581" s="20"/>
      <c r="O581" s="20"/>
    </row>
    <row r="582" spans="1:20" ht="12.75" customHeight="1" x14ac:dyDescent="0.2">
      <c r="A582" s="26"/>
      <c r="B582" s="26"/>
      <c r="C582" s="30"/>
      <c r="D582" s="35" t="s">
        <v>241</v>
      </c>
      <c r="E582" s="36">
        <v>18</v>
      </c>
      <c r="F582" s="45">
        <v>450</v>
      </c>
      <c r="G582" s="35">
        <v>2400</v>
      </c>
      <c r="H582" s="38">
        <v>1090</v>
      </c>
      <c r="I582" s="38" t="s">
        <v>416</v>
      </c>
      <c r="J582" s="34">
        <f>IFERROR(_xlfn.XLOOKUP(I582,Index!$A:$A,Index!$B:$B),"")</f>
        <v>18888</v>
      </c>
      <c r="L582" s="20"/>
      <c r="M582" s="20"/>
      <c r="N582" s="20"/>
      <c r="O582" s="20"/>
    </row>
    <row r="583" spans="1:20" ht="12.75" customHeight="1" x14ac:dyDescent="0.2">
      <c r="A583" s="26"/>
      <c r="B583" s="26"/>
      <c r="C583" s="30"/>
      <c r="D583" s="35" t="s">
        <v>241</v>
      </c>
      <c r="E583" s="36">
        <v>20</v>
      </c>
      <c r="F583" s="45">
        <v>500</v>
      </c>
      <c r="G583" s="35">
        <v>3350</v>
      </c>
      <c r="H583" s="38">
        <v>1522</v>
      </c>
      <c r="I583" s="38" t="s">
        <v>417</v>
      </c>
      <c r="J583" s="34">
        <f>IFERROR(_xlfn.XLOOKUP(I583,Index!$A:$A,Index!$B:$B),"")</f>
        <v>25498</v>
      </c>
      <c r="L583" s="20"/>
      <c r="M583" s="20"/>
      <c r="N583" s="20"/>
      <c r="O583" s="20"/>
    </row>
    <row r="584" spans="1:20" ht="12.75" customHeight="1" x14ac:dyDescent="0.2">
      <c r="A584" s="27"/>
      <c r="B584" s="27"/>
      <c r="C584" s="31"/>
      <c r="D584" s="35" t="s">
        <v>241</v>
      </c>
      <c r="E584" s="36">
        <v>24</v>
      </c>
      <c r="F584" s="45">
        <v>550</v>
      </c>
      <c r="G584" s="35">
        <v>4705</v>
      </c>
      <c r="H584" s="38">
        <v>2138</v>
      </c>
      <c r="I584" s="38" t="s">
        <v>418</v>
      </c>
      <c r="J584" s="34">
        <f>IFERROR(_xlfn.XLOOKUP(I584,Index!$A:$A,Index!$B:$B),"")</f>
        <v>38978</v>
      </c>
      <c r="L584" s="20"/>
      <c r="M584" s="20"/>
      <c r="N584" s="20"/>
      <c r="O584" s="20"/>
    </row>
    <row r="585" spans="1:20" ht="12.75" customHeight="1" x14ac:dyDescent="0.2">
      <c r="A585" s="12"/>
      <c r="B585" s="12"/>
      <c r="C585" s="4"/>
      <c r="D585" s="4"/>
      <c r="E585" s="5"/>
      <c r="F585" s="13"/>
      <c r="G585" s="4"/>
      <c r="L585" s="20"/>
      <c r="M585" s="20"/>
      <c r="N585" s="20"/>
      <c r="O585" s="20"/>
    </row>
    <row r="586" spans="1:20" ht="17.100000000000001" customHeight="1" x14ac:dyDescent="0.2">
      <c r="A586" s="62" t="s">
        <v>6213</v>
      </c>
      <c r="B586" s="62" t="s">
        <v>33</v>
      </c>
      <c r="C586" s="4"/>
      <c r="D586" s="49"/>
      <c r="E586" s="50"/>
      <c r="F586" s="51"/>
      <c r="G586" s="52"/>
      <c r="H586" s="53"/>
      <c r="I586" s="53"/>
      <c r="J586" s="54"/>
      <c r="L586" s="20"/>
      <c r="M586" s="20"/>
      <c r="N586" s="20"/>
      <c r="S586" s="241"/>
      <c r="T586" s="1"/>
    </row>
    <row r="587" spans="1:20" ht="19.350000000000001" customHeight="1" x14ac:dyDescent="0.2">
      <c r="A587" s="48" t="s">
        <v>6214</v>
      </c>
      <c r="B587" s="217"/>
      <c r="C587" s="58"/>
      <c r="D587" s="58"/>
      <c r="E587" s="59"/>
      <c r="F587" s="51"/>
      <c r="G587" s="58"/>
      <c r="H587" s="53"/>
      <c r="I587" s="53"/>
      <c r="J587" s="54"/>
      <c r="L587" s="20"/>
      <c r="M587" s="20"/>
      <c r="N587" s="20"/>
      <c r="S587" s="241"/>
      <c r="T587" s="1"/>
    </row>
    <row r="588" spans="1:20" ht="12.75" customHeight="1" x14ac:dyDescent="0.2">
      <c r="A588" s="25" t="s">
        <v>35</v>
      </c>
      <c r="B588" s="28" t="s">
        <v>36</v>
      </c>
      <c r="C588" s="333" t="s">
        <v>37</v>
      </c>
      <c r="D588" s="334"/>
      <c r="E588" s="335" t="s">
        <v>38</v>
      </c>
      <c r="F588" s="336"/>
      <c r="G588" s="335" t="s">
        <v>39</v>
      </c>
      <c r="H588" s="336"/>
      <c r="I588" s="42" t="s">
        <v>40</v>
      </c>
      <c r="J588" s="43" t="s">
        <v>41</v>
      </c>
      <c r="L588" s="20"/>
      <c r="M588" s="20"/>
      <c r="N588" s="20"/>
      <c r="S588" s="241"/>
      <c r="T588" s="1"/>
    </row>
    <row r="589" spans="1:20" ht="12.75" customHeight="1" x14ac:dyDescent="0.2">
      <c r="A589" s="32"/>
      <c r="B589" s="32"/>
      <c r="C589" s="33" t="s">
        <v>42</v>
      </c>
      <c r="D589" s="33" t="s">
        <v>43</v>
      </c>
      <c r="E589" s="33" t="s">
        <v>44</v>
      </c>
      <c r="F589" s="33" t="s">
        <v>45</v>
      </c>
      <c r="G589" s="33" t="s">
        <v>46</v>
      </c>
      <c r="H589" s="33" t="s">
        <v>47</v>
      </c>
      <c r="I589" s="33"/>
      <c r="J589" s="44"/>
      <c r="L589" s="20"/>
      <c r="M589" s="20"/>
      <c r="N589" s="20"/>
      <c r="S589" s="241"/>
      <c r="T589" s="1"/>
    </row>
    <row r="590" spans="1:20" ht="12.75" customHeight="1" x14ac:dyDescent="0.2">
      <c r="A590" s="26" t="s">
        <v>6215</v>
      </c>
      <c r="B590" s="26" t="s">
        <v>216</v>
      </c>
      <c r="C590" s="30" t="s">
        <v>50</v>
      </c>
      <c r="D590" s="35" t="s">
        <v>176</v>
      </c>
      <c r="E590" s="36">
        <v>2</v>
      </c>
      <c r="F590" s="45">
        <v>50</v>
      </c>
      <c r="G590" s="35">
        <v>26</v>
      </c>
      <c r="H590" s="38">
        <v>12</v>
      </c>
      <c r="I590" s="38" t="s">
        <v>6051</v>
      </c>
      <c r="J590" s="34">
        <f>IFERROR(_xlfn.XLOOKUP(I590,Index!$A:$A,Index!$B:$B),"")</f>
        <v>652.5</v>
      </c>
      <c r="L590" s="20"/>
      <c r="M590" s="20"/>
      <c r="N590" s="20"/>
      <c r="S590" s="241"/>
      <c r="T590" s="1"/>
    </row>
    <row r="591" spans="1:20" ht="12.75" customHeight="1" x14ac:dyDescent="0.2">
      <c r="A591" s="314" t="s">
        <v>6185</v>
      </c>
      <c r="B591" s="26"/>
      <c r="C591" s="30"/>
      <c r="D591" s="35" t="s">
        <v>176</v>
      </c>
      <c r="E591" s="36" t="s">
        <v>231</v>
      </c>
      <c r="F591" s="45">
        <v>65</v>
      </c>
      <c r="G591" s="35">
        <v>40</v>
      </c>
      <c r="H591" s="38">
        <v>18</v>
      </c>
      <c r="I591" s="38" t="s">
        <v>6052</v>
      </c>
      <c r="J591" s="34">
        <f>IFERROR(_xlfn.XLOOKUP(I591,Index!$A:$A,Index!$B:$B),"")</f>
        <v>740</v>
      </c>
      <c r="L591" s="20"/>
      <c r="M591" s="20"/>
      <c r="N591" s="20"/>
      <c r="S591" s="241"/>
      <c r="T591" s="1"/>
    </row>
    <row r="592" spans="1:20" ht="12.75" customHeight="1" x14ac:dyDescent="0.2">
      <c r="A592" s="26"/>
      <c r="B592" s="26"/>
      <c r="C592" s="30"/>
      <c r="D592" s="35" t="s">
        <v>176</v>
      </c>
      <c r="E592" s="36">
        <v>3</v>
      </c>
      <c r="F592" s="45">
        <v>80</v>
      </c>
      <c r="G592" s="35">
        <v>59</v>
      </c>
      <c r="H592" s="38">
        <v>27</v>
      </c>
      <c r="I592" s="38" t="s">
        <v>6053</v>
      </c>
      <c r="J592" s="34">
        <f>IFERROR(_xlfn.XLOOKUP(I592,Index!$A:$A,Index!$B:$B),"")</f>
        <v>887</v>
      </c>
      <c r="L592" s="20"/>
      <c r="M592" s="20"/>
      <c r="N592" s="20"/>
      <c r="S592" s="241"/>
      <c r="T592" s="1"/>
    </row>
    <row r="593" spans="1:20" ht="12.75" customHeight="1" x14ac:dyDescent="0.2">
      <c r="A593" s="26"/>
      <c r="B593" s="26"/>
      <c r="C593" s="30"/>
      <c r="D593" s="35" t="s">
        <v>176</v>
      </c>
      <c r="E593" s="36">
        <v>4</v>
      </c>
      <c r="F593" s="45">
        <v>100</v>
      </c>
      <c r="G593" s="35">
        <v>93</v>
      </c>
      <c r="H593" s="38">
        <v>42</v>
      </c>
      <c r="I593" s="38" t="s">
        <v>6054</v>
      </c>
      <c r="J593" s="34">
        <f>IFERROR(_xlfn.XLOOKUP(I593,Index!$A:$A,Index!$B:$B),"")</f>
        <v>1409</v>
      </c>
      <c r="L593" s="20"/>
      <c r="M593" s="20"/>
      <c r="N593" s="20"/>
      <c r="S593" s="241"/>
      <c r="T593" s="1"/>
    </row>
    <row r="594" spans="1:20" ht="12.75" customHeight="1" x14ac:dyDescent="0.2">
      <c r="A594" s="26"/>
      <c r="B594" s="26"/>
      <c r="C594" s="30"/>
      <c r="D594" s="35" t="s">
        <v>241</v>
      </c>
      <c r="E594" s="36">
        <v>5</v>
      </c>
      <c r="F594" s="45">
        <v>125</v>
      </c>
      <c r="G594" s="35">
        <v>146</v>
      </c>
      <c r="H594" s="38">
        <v>66</v>
      </c>
      <c r="I594" s="38" t="s">
        <v>6055</v>
      </c>
      <c r="J594" s="34">
        <f>IFERROR(_xlfn.XLOOKUP(I594,Index!$A:$A,Index!$B:$B),"")</f>
        <v>2255</v>
      </c>
      <c r="L594" s="20"/>
      <c r="M594" s="20"/>
      <c r="N594" s="20"/>
      <c r="S594" s="241"/>
      <c r="T594" s="1"/>
    </row>
    <row r="595" spans="1:20" ht="12.75" customHeight="1" x14ac:dyDescent="0.2">
      <c r="A595" s="26"/>
      <c r="B595" s="26"/>
      <c r="C595" s="30"/>
      <c r="D595" s="35" t="s">
        <v>241</v>
      </c>
      <c r="E595" s="36">
        <v>6</v>
      </c>
      <c r="F595" s="45">
        <v>150</v>
      </c>
      <c r="G595" s="35">
        <v>194</v>
      </c>
      <c r="H595" s="38">
        <v>87</v>
      </c>
      <c r="I595" s="38" t="s">
        <v>6056</v>
      </c>
      <c r="J595" s="34">
        <f>IFERROR(_xlfn.XLOOKUP(I595,Index!$A:$A,Index!$B:$B),"")</f>
        <v>2487</v>
      </c>
      <c r="L595" s="20"/>
      <c r="M595" s="20"/>
      <c r="N595" s="20"/>
      <c r="S595" s="241"/>
      <c r="T595" s="1"/>
    </row>
    <row r="596" spans="1:20" ht="12.75" customHeight="1" x14ac:dyDescent="0.2">
      <c r="A596" s="26"/>
      <c r="B596" s="26"/>
      <c r="C596" s="30"/>
      <c r="D596" s="35" t="s">
        <v>241</v>
      </c>
      <c r="E596" s="36">
        <v>8</v>
      </c>
      <c r="F596" s="45">
        <v>200</v>
      </c>
      <c r="G596" s="35">
        <v>316</v>
      </c>
      <c r="H596" s="38">
        <v>142</v>
      </c>
      <c r="I596" s="38" t="s">
        <v>6057</v>
      </c>
      <c r="J596" s="34">
        <f>IFERROR(_xlfn.XLOOKUP(I596,Index!$A:$A,Index!$B:$B),"")</f>
        <v>3914</v>
      </c>
      <c r="L596" s="20"/>
      <c r="M596" s="20"/>
      <c r="N596" s="20"/>
      <c r="S596" s="241"/>
      <c r="T596" s="1"/>
    </row>
    <row r="597" spans="1:20" ht="12.75" customHeight="1" x14ac:dyDescent="0.2">
      <c r="A597" s="26"/>
      <c r="B597" s="26"/>
      <c r="C597" s="30"/>
      <c r="D597" s="35" t="s">
        <v>241</v>
      </c>
      <c r="E597" s="36">
        <v>10</v>
      </c>
      <c r="F597" s="45">
        <v>250</v>
      </c>
      <c r="G597" s="35">
        <v>475</v>
      </c>
      <c r="H597" s="38">
        <v>214</v>
      </c>
      <c r="I597" s="38" t="s">
        <v>6058</v>
      </c>
      <c r="J597" s="34">
        <f>IFERROR(_xlfn.XLOOKUP(I597,Index!$A:$A,Index!$B:$B),"")</f>
        <v>7323</v>
      </c>
      <c r="L597" s="20"/>
      <c r="M597" s="20"/>
      <c r="N597" s="20"/>
      <c r="S597" s="241"/>
      <c r="T597" s="1"/>
    </row>
    <row r="598" spans="1:20" ht="12.75" customHeight="1" x14ac:dyDescent="0.2">
      <c r="A598" s="26"/>
      <c r="B598" s="26"/>
      <c r="C598" s="30"/>
      <c r="D598" s="35" t="s">
        <v>241</v>
      </c>
      <c r="E598" s="36">
        <v>12</v>
      </c>
      <c r="F598" s="45">
        <v>300</v>
      </c>
      <c r="G598" s="35">
        <v>750</v>
      </c>
      <c r="H598" s="38">
        <v>338</v>
      </c>
      <c r="I598" s="38" t="s">
        <v>6059</v>
      </c>
      <c r="J598" s="34">
        <f>IFERROR(_xlfn.XLOOKUP(I598,Index!$A:$A,Index!$B:$B),"")</f>
        <v>10902</v>
      </c>
      <c r="L598" s="20"/>
      <c r="M598" s="20"/>
      <c r="N598" s="20"/>
      <c r="S598" s="241"/>
      <c r="T598" s="1"/>
    </row>
    <row r="599" spans="1:20" ht="12.75" customHeight="1" x14ac:dyDescent="0.2">
      <c r="A599" s="26"/>
      <c r="B599" s="26"/>
      <c r="C599" s="30"/>
      <c r="D599" s="35" t="s">
        <v>241</v>
      </c>
      <c r="E599" s="36">
        <v>14</v>
      </c>
      <c r="F599" s="45">
        <v>350</v>
      </c>
      <c r="G599" s="35">
        <v>908</v>
      </c>
      <c r="H599" s="38">
        <v>412</v>
      </c>
      <c r="I599" s="38" t="s">
        <v>6060</v>
      </c>
      <c r="J599" s="34">
        <f>IFERROR(_xlfn.XLOOKUP(I599,Index!$A:$A,Index!$B:$B),"")</f>
        <v>14823</v>
      </c>
      <c r="L599" s="20"/>
      <c r="M599" s="20"/>
      <c r="N599" s="20"/>
      <c r="S599" s="241"/>
      <c r="T599" s="1"/>
    </row>
    <row r="600" spans="1:20" ht="12.75" customHeight="1" x14ac:dyDescent="0.2">
      <c r="A600" s="26"/>
      <c r="B600" s="26"/>
      <c r="C600" s="30"/>
      <c r="D600" s="35" t="s">
        <v>241</v>
      </c>
      <c r="E600" s="36">
        <v>16</v>
      </c>
      <c r="F600" s="45">
        <v>400</v>
      </c>
      <c r="G600" s="35">
        <v>1135</v>
      </c>
      <c r="H600" s="38">
        <v>515</v>
      </c>
      <c r="I600" s="38" t="s">
        <v>6061</v>
      </c>
      <c r="J600" s="34">
        <f>IFERROR(_xlfn.XLOOKUP(I600,Index!$A:$A,Index!$B:$B),"")</f>
        <v>20158</v>
      </c>
      <c r="L600" s="20"/>
      <c r="M600" s="20"/>
      <c r="N600" s="20"/>
      <c r="S600" s="241"/>
      <c r="T600" s="1"/>
    </row>
    <row r="601" spans="1:20" ht="12.75" customHeight="1" x14ac:dyDescent="0.2">
      <c r="A601" s="26"/>
      <c r="B601" s="26"/>
      <c r="C601" s="30"/>
      <c r="D601" s="35" t="s">
        <v>241</v>
      </c>
      <c r="E601" s="36">
        <v>18</v>
      </c>
      <c r="F601" s="45">
        <v>450</v>
      </c>
      <c r="G601" s="35">
        <v>2400</v>
      </c>
      <c r="H601" s="38">
        <v>1090</v>
      </c>
      <c r="I601" s="38" t="s">
        <v>6062</v>
      </c>
      <c r="J601" s="34">
        <f>IFERROR(_xlfn.XLOOKUP(I601,Index!$A:$A,Index!$B:$B),"")</f>
        <v>27414</v>
      </c>
      <c r="L601" s="20"/>
      <c r="M601" s="20"/>
      <c r="N601" s="20"/>
      <c r="S601" s="241"/>
      <c r="T601" s="1"/>
    </row>
    <row r="602" spans="1:20" ht="12.75" customHeight="1" x14ac:dyDescent="0.2">
      <c r="A602" s="26"/>
      <c r="B602" s="26"/>
      <c r="C602" s="30"/>
      <c r="D602" s="35" t="s">
        <v>241</v>
      </c>
      <c r="E602" s="36">
        <v>20</v>
      </c>
      <c r="F602" s="45">
        <v>500</v>
      </c>
      <c r="G602" s="35">
        <v>3350</v>
      </c>
      <c r="H602" s="38">
        <v>1522</v>
      </c>
      <c r="I602" s="38" t="s">
        <v>6063</v>
      </c>
      <c r="J602" s="34">
        <f>IFERROR(_xlfn.XLOOKUP(I602,Index!$A:$A,Index!$B:$B),"")</f>
        <v>37282</v>
      </c>
      <c r="L602" s="20"/>
      <c r="M602" s="20"/>
      <c r="N602" s="20"/>
      <c r="S602" s="241"/>
      <c r="T602" s="1"/>
    </row>
    <row r="603" spans="1:20" ht="12.75" customHeight="1" x14ac:dyDescent="0.2">
      <c r="A603" s="27"/>
      <c r="B603" s="27"/>
      <c r="C603" s="31"/>
      <c r="D603" s="35" t="s">
        <v>241</v>
      </c>
      <c r="E603" s="36">
        <v>24</v>
      </c>
      <c r="F603" s="45">
        <v>550</v>
      </c>
      <c r="G603" s="35">
        <v>4705</v>
      </c>
      <c r="H603" s="38">
        <v>2138</v>
      </c>
      <c r="I603" s="38" t="s">
        <v>6064</v>
      </c>
      <c r="J603" s="34">
        <f>IFERROR(_xlfn.XLOOKUP(I603,Index!$A:$A,Index!$B:$B),"")</f>
        <v>50425</v>
      </c>
      <c r="L603" s="20"/>
      <c r="M603" s="20"/>
      <c r="N603" s="20"/>
      <c r="S603" s="241"/>
      <c r="T603" s="1"/>
    </row>
    <row r="604" spans="1:20" customFormat="1" ht="15" x14ac:dyDescent="0.25"/>
    <row r="605" spans="1:20" ht="17.100000000000001" customHeight="1" x14ac:dyDescent="0.2">
      <c r="A605" s="62" t="s">
        <v>6192</v>
      </c>
      <c r="B605" s="62"/>
      <c r="C605" s="4"/>
      <c r="D605" s="49"/>
      <c r="E605" s="50"/>
      <c r="F605" s="51"/>
      <c r="G605" s="52"/>
      <c r="H605" s="53"/>
      <c r="I605" s="53"/>
      <c r="J605" s="54"/>
      <c r="L605" s="20"/>
      <c r="M605" s="20"/>
      <c r="N605" s="20"/>
      <c r="S605" s="241"/>
      <c r="T605" s="1"/>
    </row>
    <row r="606" spans="1:20" ht="19.350000000000001" customHeight="1" x14ac:dyDescent="0.2">
      <c r="A606" s="48" t="s">
        <v>6193</v>
      </c>
      <c r="B606" s="217"/>
      <c r="C606" s="58"/>
      <c r="D606" s="58"/>
      <c r="E606" s="59"/>
      <c r="F606" s="51"/>
      <c r="G606" s="58"/>
      <c r="H606" s="53"/>
      <c r="I606" s="53"/>
      <c r="J606" s="54"/>
      <c r="L606" s="20"/>
      <c r="M606" s="20"/>
      <c r="N606" s="20"/>
      <c r="S606" s="241"/>
      <c r="T606" s="1"/>
    </row>
    <row r="607" spans="1:20" ht="12.75" customHeight="1" x14ac:dyDescent="0.2">
      <c r="A607" s="315" t="s">
        <v>6194</v>
      </c>
      <c r="B607" s="28" t="s">
        <v>6195</v>
      </c>
      <c r="C607" s="189" t="s">
        <v>6196</v>
      </c>
      <c r="D607" s="42" t="s">
        <v>40</v>
      </c>
      <c r="E607" s="43" t="s">
        <v>41</v>
      </c>
      <c r="F607" s="20"/>
      <c r="G607" s="20"/>
      <c r="H607" s="20"/>
      <c r="I607" s="20"/>
      <c r="J607" s="1"/>
      <c r="K607" s="1"/>
      <c r="N607" s="241"/>
      <c r="T607" s="1"/>
    </row>
    <row r="608" spans="1:20" ht="12.75" customHeight="1" x14ac:dyDescent="0.2">
      <c r="A608" s="32"/>
      <c r="B608" s="32"/>
      <c r="C608" s="33"/>
      <c r="D608" s="33"/>
      <c r="E608" s="44"/>
      <c r="F608" s="20"/>
      <c r="G608" s="20"/>
      <c r="H608" s="20"/>
      <c r="I608" s="20"/>
      <c r="J608" s="1"/>
      <c r="K608" s="1"/>
      <c r="N608" s="241"/>
      <c r="T608" s="1"/>
    </row>
    <row r="609" spans="1:20" ht="12.75" customHeight="1" x14ac:dyDescent="0.2">
      <c r="A609" s="215" t="s">
        <v>6197</v>
      </c>
      <c r="B609" s="215" t="s">
        <v>6198</v>
      </c>
      <c r="C609" s="35" t="s">
        <v>6199</v>
      </c>
      <c r="D609" s="38" t="s">
        <v>6065</v>
      </c>
      <c r="E609" s="34">
        <f>IFERROR(_xlfn.XLOOKUP(D609,Index!$A:$A,Index!$B:$B),"")</f>
        <v>1501</v>
      </c>
      <c r="F609" s="20"/>
      <c r="G609" s="20"/>
      <c r="H609" s="20"/>
      <c r="I609" s="20"/>
      <c r="J609" s="1"/>
      <c r="K609" s="1"/>
      <c r="N609" s="241"/>
      <c r="T609" s="1"/>
    </row>
    <row r="610" spans="1:20" ht="12.75" customHeight="1" x14ac:dyDescent="0.2">
      <c r="A610" s="215" t="s">
        <v>6197</v>
      </c>
      <c r="B610" s="215" t="s">
        <v>6200</v>
      </c>
      <c r="C610" s="35" t="s">
        <v>6199</v>
      </c>
      <c r="D610" s="38" t="s">
        <v>6066</v>
      </c>
      <c r="E610" s="34">
        <f>IFERROR(_xlfn.XLOOKUP(D610,Index!$A:$A,Index!$B:$B),"")</f>
        <v>1501</v>
      </c>
      <c r="F610" s="20"/>
      <c r="G610" s="20"/>
      <c r="H610" s="20"/>
      <c r="I610" s="20"/>
      <c r="J610" s="1"/>
      <c r="K610" s="1"/>
      <c r="N610" s="241"/>
      <c r="T610" s="1"/>
    </row>
    <row r="611" spans="1:20" ht="12.75" customHeight="1" x14ac:dyDescent="0.2">
      <c r="A611" s="215" t="s">
        <v>6201</v>
      </c>
      <c r="B611" s="215" t="s">
        <v>6198</v>
      </c>
      <c r="C611" s="35" t="s">
        <v>6199</v>
      </c>
      <c r="D611" s="38" t="s">
        <v>6067</v>
      </c>
      <c r="E611" s="34">
        <f>IFERROR(_xlfn.XLOOKUP(D611,Index!$A:$A,Index!$B:$B),"")</f>
        <v>2251</v>
      </c>
      <c r="F611" s="20"/>
      <c r="G611" s="20"/>
      <c r="H611" s="20"/>
      <c r="I611" s="20"/>
      <c r="J611" s="1"/>
      <c r="K611" s="1"/>
      <c r="N611" s="241"/>
      <c r="T611" s="1"/>
    </row>
    <row r="612" spans="1:20" ht="12.75" customHeight="1" x14ac:dyDescent="0.2">
      <c r="A612" s="215" t="s">
        <v>6201</v>
      </c>
      <c r="B612" s="215" t="s">
        <v>6200</v>
      </c>
      <c r="C612" s="35" t="s">
        <v>6199</v>
      </c>
      <c r="D612" s="38" t="s">
        <v>6068</v>
      </c>
      <c r="E612" s="34">
        <f>IFERROR(_xlfn.XLOOKUP(D612,Index!$A:$A,Index!$B:$B),"")</f>
        <v>2251</v>
      </c>
      <c r="F612" s="20"/>
      <c r="G612" s="20"/>
      <c r="H612" s="20"/>
      <c r="I612" s="20"/>
      <c r="J612" s="1"/>
      <c r="K612" s="1"/>
      <c r="N612" s="241"/>
      <c r="T612" s="1"/>
    </row>
    <row r="613" spans="1:20" ht="12.75" customHeight="1" x14ac:dyDescent="0.2">
      <c r="A613" s="215" t="s">
        <v>6202</v>
      </c>
      <c r="B613" s="215" t="s">
        <v>6198</v>
      </c>
      <c r="C613" s="35" t="s">
        <v>6203</v>
      </c>
      <c r="D613" s="38" t="s">
        <v>6069</v>
      </c>
      <c r="E613" s="34">
        <f>IFERROR(_xlfn.XLOOKUP(D613,Index!$A:$A,Index!$B:$B),"")</f>
        <v>750.5</v>
      </c>
      <c r="F613" s="20"/>
      <c r="G613" s="20"/>
      <c r="H613" s="20"/>
      <c r="I613" s="20"/>
      <c r="J613" s="1"/>
      <c r="K613" s="1"/>
      <c r="N613" s="241"/>
      <c r="T613" s="1"/>
    </row>
    <row r="614" spans="1:20" ht="12.75" customHeight="1" x14ac:dyDescent="0.2">
      <c r="A614" s="215" t="s">
        <v>6202</v>
      </c>
      <c r="B614" s="215" t="s">
        <v>6200</v>
      </c>
      <c r="C614" s="35" t="s">
        <v>6203</v>
      </c>
      <c r="D614" s="38" t="s">
        <v>6070</v>
      </c>
      <c r="E614" s="34">
        <f>IFERROR(_xlfn.XLOOKUP(D614,Index!$A:$A,Index!$B:$B),"")</f>
        <v>938</v>
      </c>
      <c r="F614" s="20"/>
      <c r="G614" s="20"/>
      <c r="H614" s="20"/>
      <c r="I614" s="20"/>
      <c r="J614" s="1"/>
      <c r="K614" s="1"/>
      <c r="N614" s="241"/>
      <c r="T614" s="1"/>
    </row>
    <row r="615" spans="1:20" ht="12.75" customHeight="1" x14ac:dyDescent="0.2">
      <c r="A615" s="12"/>
      <c r="B615" s="12"/>
      <c r="C615" s="4"/>
      <c r="D615" s="4"/>
      <c r="E615" s="5"/>
      <c r="F615" s="9"/>
      <c r="G615" s="4"/>
      <c r="L615" s="20"/>
      <c r="M615" s="20"/>
      <c r="N615" s="20"/>
      <c r="O615" s="20"/>
    </row>
    <row r="616" spans="1:20" ht="12.75" customHeight="1" x14ac:dyDescent="0.2">
      <c r="A616" s="217" t="s">
        <v>419</v>
      </c>
      <c r="B616" s="18"/>
      <c r="C616" s="18"/>
      <c r="D616" s="49"/>
      <c r="E616" s="50"/>
      <c r="F616" s="51"/>
      <c r="G616" s="52"/>
      <c r="H616" s="53"/>
      <c r="I616" s="53"/>
      <c r="J616" s="54"/>
      <c r="L616" s="20"/>
      <c r="M616" s="20"/>
      <c r="N616" s="20"/>
      <c r="O616" s="20"/>
    </row>
    <row r="617" spans="1:20" ht="15.75" x14ac:dyDescent="0.2">
      <c r="A617" s="48" t="s">
        <v>102</v>
      </c>
      <c r="B617" s="57"/>
      <c r="C617" s="58"/>
      <c r="D617" s="58"/>
      <c r="E617" s="59"/>
      <c r="F617" s="51"/>
      <c r="G617" s="58"/>
      <c r="H617" s="53"/>
      <c r="I617" s="53"/>
      <c r="J617" s="54"/>
      <c r="L617" s="20"/>
      <c r="M617" s="20"/>
      <c r="N617" s="20"/>
      <c r="O617" s="20"/>
    </row>
    <row r="618" spans="1:20" ht="12.75" customHeight="1" x14ac:dyDescent="0.2">
      <c r="A618" s="25" t="s">
        <v>35</v>
      </c>
      <c r="B618" s="28" t="s">
        <v>103</v>
      </c>
      <c r="C618" s="335" t="s">
        <v>38</v>
      </c>
      <c r="D618" s="336"/>
      <c r="E618" s="42" t="s">
        <v>40</v>
      </c>
      <c r="F618" s="43" t="s">
        <v>41</v>
      </c>
      <c r="G618" s="20"/>
      <c r="H618" s="20"/>
      <c r="I618" s="20"/>
      <c r="P618" s="241"/>
      <c r="T618" s="1"/>
    </row>
    <row r="619" spans="1:20" ht="12.75" customHeight="1" x14ac:dyDescent="0.2">
      <c r="A619" s="32"/>
      <c r="B619" s="32"/>
      <c r="C619" s="33" t="s">
        <v>44</v>
      </c>
      <c r="D619" s="33" t="s">
        <v>45</v>
      </c>
      <c r="E619" s="33"/>
      <c r="F619" s="44"/>
      <c r="G619" s="20"/>
      <c r="H619" s="20"/>
      <c r="I619" s="20"/>
      <c r="P619" s="241"/>
      <c r="T619" s="1"/>
    </row>
    <row r="620" spans="1:20" ht="12.75" customHeight="1" x14ac:dyDescent="0.2">
      <c r="A620" s="60" t="s">
        <v>5547</v>
      </c>
      <c r="B620" s="60" t="s">
        <v>104</v>
      </c>
      <c r="C620" s="61" t="s">
        <v>217</v>
      </c>
      <c r="D620" s="35">
        <v>20</v>
      </c>
      <c r="E620" s="35" t="s">
        <v>279</v>
      </c>
      <c r="F620" s="34">
        <f>IFERROR(_xlfn.XLOOKUP(E620,Index!$A:$A,Index!$B:$B),"")</f>
        <v>8.5</v>
      </c>
      <c r="G620" s="20"/>
      <c r="H620" s="20"/>
      <c r="I620" s="20"/>
      <c r="P620" s="241"/>
      <c r="T620" s="1"/>
    </row>
    <row r="621" spans="1:20" ht="12.75" customHeight="1" x14ac:dyDescent="0.2">
      <c r="A621" s="26"/>
      <c r="B621" s="26"/>
      <c r="C621" s="35">
        <v>1</v>
      </c>
      <c r="D621" s="35">
        <v>25</v>
      </c>
      <c r="E621" s="35" t="s">
        <v>279</v>
      </c>
      <c r="F621" s="34">
        <f>IFERROR(_xlfn.XLOOKUP(E621,Index!$A:$A,Index!$B:$B),"")</f>
        <v>8.5</v>
      </c>
      <c r="G621" s="20"/>
      <c r="H621" s="20"/>
      <c r="I621" s="20"/>
      <c r="P621" s="241"/>
      <c r="T621" s="1"/>
    </row>
    <row r="622" spans="1:20" ht="12.75" customHeight="1" x14ac:dyDescent="0.2">
      <c r="A622" s="26"/>
      <c r="B622" s="26"/>
      <c r="C622" s="35" t="s">
        <v>223</v>
      </c>
      <c r="D622" s="35">
        <v>32</v>
      </c>
      <c r="E622" s="35" t="s">
        <v>279</v>
      </c>
      <c r="F622" s="34">
        <f>IFERROR(_xlfn.XLOOKUP(E622,Index!$A:$A,Index!$B:$B),"")</f>
        <v>8.5</v>
      </c>
      <c r="G622" s="20"/>
      <c r="H622" s="20"/>
      <c r="I622" s="20"/>
      <c r="P622" s="241"/>
      <c r="T622" s="1"/>
    </row>
    <row r="623" spans="1:20" ht="12.75" customHeight="1" x14ac:dyDescent="0.2">
      <c r="A623" s="26"/>
      <c r="B623" s="26"/>
      <c r="C623" s="35" t="s">
        <v>225</v>
      </c>
      <c r="D623" s="35">
        <v>40</v>
      </c>
      <c r="E623" s="35" t="s">
        <v>279</v>
      </c>
      <c r="F623" s="34">
        <f>IFERROR(_xlfn.XLOOKUP(E623,Index!$A:$A,Index!$B:$B),"")</f>
        <v>8.5</v>
      </c>
      <c r="G623" s="20"/>
      <c r="H623" s="20"/>
      <c r="I623" s="20"/>
      <c r="P623" s="241"/>
      <c r="T623" s="1"/>
    </row>
    <row r="624" spans="1:20" ht="12.75" customHeight="1" x14ac:dyDescent="0.2">
      <c r="A624" s="26"/>
      <c r="B624" s="26"/>
      <c r="C624" s="35">
        <v>2</v>
      </c>
      <c r="D624" s="35">
        <v>50</v>
      </c>
      <c r="E624" s="35" t="s">
        <v>280</v>
      </c>
      <c r="F624" s="34">
        <f>IFERROR(_xlfn.XLOOKUP(E624,Index!$A:$A,Index!$B:$B),"")</f>
        <v>9.75</v>
      </c>
      <c r="G624" s="20"/>
      <c r="H624" s="20"/>
      <c r="I624" s="20"/>
      <c r="P624" s="241"/>
      <c r="T624" s="1"/>
    </row>
    <row r="625" spans="1:20" ht="12.75" customHeight="1" x14ac:dyDescent="0.2">
      <c r="A625" s="26"/>
      <c r="B625" s="26"/>
      <c r="C625" s="35" t="s">
        <v>231</v>
      </c>
      <c r="D625" s="35">
        <v>65</v>
      </c>
      <c r="E625" s="35" t="s">
        <v>420</v>
      </c>
      <c r="F625" s="34">
        <f>IFERROR(_xlfn.XLOOKUP(E625,Index!$A:$A,Index!$B:$B),"")</f>
        <v>12.25</v>
      </c>
      <c r="G625" s="20"/>
      <c r="H625" s="20"/>
      <c r="I625" s="20"/>
      <c r="P625" s="241"/>
      <c r="T625" s="1"/>
    </row>
    <row r="626" spans="1:20" ht="12.75" customHeight="1" x14ac:dyDescent="0.2">
      <c r="A626" s="26"/>
      <c r="B626" s="26"/>
      <c r="C626" s="35">
        <v>3</v>
      </c>
      <c r="D626" s="35">
        <v>80</v>
      </c>
      <c r="E626" s="35" t="s">
        <v>281</v>
      </c>
      <c r="F626" s="34">
        <f>IFERROR(_xlfn.XLOOKUP(E626,Index!$A:$A,Index!$B:$B),"")</f>
        <v>12.25</v>
      </c>
      <c r="G626" s="20"/>
      <c r="H626" s="20"/>
      <c r="I626" s="20"/>
      <c r="P626" s="241"/>
      <c r="T626" s="1"/>
    </row>
    <row r="627" spans="1:20" ht="12.75" customHeight="1" x14ac:dyDescent="0.2">
      <c r="A627" s="26"/>
      <c r="B627" s="26"/>
      <c r="C627" s="35">
        <v>4</v>
      </c>
      <c r="D627" s="35">
        <v>100</v>
      </c>
      <c r="E627" s="35" t="s">
        <v>282</v>
      </c>
      <c r="F627" s="34">
        <f>IFERROR(_xlfn.XLOOKUP(E627,Index!$A:$A,Index!$B:$B),"")</f>
        <v>12.25</v>
      </c>
      <c r="G627" s="20"/>
      <c r="H627" s="20"/>
      <c r="I627" s="20"/>
      <c r="P627" s="241"/>
      <c r="T627" s="1"/>
    </row>
    <row r="628" spans="1:20" ht="12.75" customHeight="1" x14ac:dyDescent="0.2">
      <c r="A628" s="26"/>
      <c r="B628" s="26"/>
      <c r="C628" s="35">
        <v>5</v>
      </c>
      <c r="D628" s="35">
        <v>125</v>
      </c>
      <c r="E628" s="35" t="s">
        <v>421</v>
      </c>
      <c r="F628" s="34">
        <f>IFERROR(_xlfn.XLOOKUP(E628,Index!$A:$A,Index!$B:$B),"")</f>
        <v>16.5</v>
      </c>
      <c r="G628" s="20"/>
      <c r="H628" s="20"/>
      <c r="I628" s="20"/>
      <c r="P628" s="241"/>
      <c r="T628" s="1"/>
    </row>
    <row r="629" spans="1:20" ht="12.75" customHeight="1" x14ac:dyDescent="0.2">
      <c r="A629" s="26"/>
      <c r="B629" s="26"/>
      <c r="C629" s="35">
        <v>6</v>
      </c>
      <c r="D629" s="35">
        <v>150</v>
      </c>
      <c r="E629" s="35" t="s">
        <v>284</v>
      </c>
      <c r="F629" s="34">
        <f>IFERROR(_xlfn.XLOOKUP(E629,Index!$A:$A,Index!$B:$B),"")</f>
        <v>16.5</v>
      </c>
      <c r="G629" s="20"/>
      <c r="H629" s="20"/>
      <c r="I629" s="20"/>
      <c r="P629" s="241"/>
      <c r="T629" s="1"/>
    </row>
    <row r="630" spans="1:20" ht="12.75" customHeight="1" x14ac:dyDescent="0.2">
      <c r="A630" s="26"/>
      <c r="B630" s="26"/>
      <c r="C630" s="35">
        <v>8</v>
      </c>
      <c r="D630" s="35">
        <v>200</v>
      </c>
      <c r="E630" s="35" t="s">
        <v>285</v>
      </c>
      <c r="F630" s="34">
        <f>IFERROR(_xlfn.XLOOKUP(E630,Index!$A:$A,Index!$B:$B),"")</f>
        <v>20</v>
      </c>
      <c r="G630" s="20"/>
      <c r="H630" s="20"/>
      <c r="I630" s="20"/>
      <c r="P630" s="241"/>
      <c r="T630" s="1"/>
    </row>
    <row r="631" spans="1:20" ht="12.75" customHeight="1" x14ac:dyDescent="0.2">
      <c r="A631" s="26"/>
      <c r="B631" s="26"/>
      <c r="C631" s="35">
        <v>10</v>
      </c>
      <c r="D631" s="35">
        <v>250</v>
      </c>
      <c r="E631" s="35" t="s">
        <v>286</v>
      </c>
      <c r="F631" s="34">
        <f>IFERROR(_xlfn.XLOOKUP(E631,Index!$A:$A,Index!$B:$B),"")</f>
        <v>24</v>
      </c>
      <c r="G631" s="20"/>
      <c r="H631" s="20"/>
      <c r="I631" s="20"/>
      <c r="P631" s="241"/>
      <c r="T631" s="1"/>
    </row>
    <row r="632" spans="1:20" ht="12.75" customHeight="1" x14ac:dyDescent="0.2">
      <c r="A632" s="26"/>
      <c r="B632" s="26"/>
      <c r="C632" s="35">
        <v>12</v>
      </c>
      <c r="D632" s="35">
        <v>300</v>
      </c>
      <c r="E632" s="35" t="s">
        <v>287</v>
      </c>
      <c r="F632" s="34">
        <f>IFERROR(_xlfn.XLOOKUP(E632,Index!$A:$A,Index!$B:$B),"")</f>
        <v>24</v>
      </c>
      <c r="G632" s="20"/>
      <c r="H632" s="20"/>
      <c r="I632" s="20"/>
      <c r="P632" s="241"/>
      <c r="T632" s="1"/>
    </row>
    <row r="633" spans="1:20" ht="12.75" customHeight="1" x14ac:dyDescent="0.2">
      <c r="A633" s="26"/>
      <c r="B633" s="26"/>
      <c r="C633" s="35">
        <v>14</v>
      </c>
      <c r="D633" s="35">
        <v>350</v>
      </c>
      <c r="E633" s="35" t="s">
        <v>422</v>
      </c>
      <c r="F633" s="34">
        <f>IFERROR(_xlfn.XLOOKUP(E633,Index!$A:$A,Index!$B:$B),"")</f>
        <v>92</v>
      </c>
      <c r="G633" s="20"/>
      <c r="H633" s="20"/>
      <c r="I633" s="20"/>
      <c r="P633" s="241"/>
      <c r="T633" s="1"/>
    </row>
    <row r="634" spans="1:20" ht="12.75" customHeight="1" x14ac:dyDescent="0.2">
      <c r="A634" s="26"/>
      <c r="B634" s="26"/>
      <c r="C634" s="35">
        <v>16</v>
      </c>
      <c r="D634" s="35">
        <v>400</v>
      </c>
      <c r="E634" s="35" t="s">
        <v>423</v>
      </c>
      <c r="F634" s="34">
        <f>IFERROR(_xlfn.XLOOKUP(E634,Index!$A:$A,Index!$B:$B),"")</f>
        <v>108.5</v>
      </c>
      <c r="G634" s="20"/>
      <c r="H634" s="20"/>
      <c r="I634" s="20"/>
      <c r="P634" s="241"/>
      <c r="T634" s="1"/>
    </row>
    <row r="635" spans="1:20" ht="12.75" customHeight="1" x14ac:dyDescent="0.2">
      <c r="A635" s="26"/>
      <c r="B635" s="26"/>
      <c r="C635" s="35">
        <v>18</v>
      </c>
      <c r="D635" s="35">
        <v>450</v>
      </c>
      <c r="E635" s="35" t="s">
        <v>424</v>
      </c>
      <c r="F635" s="34">
        <f>IFERROR(_xlfn.XLOOKUP(E635,Index!$A:$A,Index!$B:$B),"")</f>
        <v>141.5</v>
      </c>
      <c r="G635" s="20"/>
      <c r="H635" s="20"/>
      <c r="I635" s="20"/>
      <c r="P635" s="241"/>
      <c r="T635" s="1"/>
    </row>
    <row r="636" spans="1:20" ht="12.75" customHeight="1" x14ac:dyDescent="0.2">
      <c r="A636" s="26"/>
      <c r="B636" s="26"/>
      <c r="C636" s="35">
        <v>20</v>
      </c>
      <c r="D636" s="35">
        <v>500</v>
      </c>
      <c r="E636" s="35" t="s">
        <v>291</v>
      </c>
      <c r="F636" s="34">
        <f>IFERROR(_xlfn.XLOOKUP(E636,Index!$A:$A,Index!$B:$B),"")</f>
        <v>78.75</v>
      </c>
      <c r="G636" s="20"/>
      <c r="H636" s="20"/>
      <c r="I636" s="20"/>
      <c r="P636" s="241"/>
      <c r="T636" s="1"/>
    </row>
    <row r="637" spans="1:20" ht="12.75" customHeight="1" x14ac:dyDescent="0.2">
      <c r="A637" s="26"/>
      <c r="B637" s="27"/>
      <c r="C637" s="35">
        <v>24</v>
      </c>
      <c r="D637" s="35">
        <v>550</v>
      </c>
      <c r="E637" s="35" t="s">
        <v>425</v>
      </c>
      <c r="F637" s="34">
        <f>IFERROR(_xlfn.XLOOKUP(E637,Index!$A:$A,Index!$B:$B),"")</f>
        <v>100</v>
      </c>
      <c r="G637" s="20"/>
      <c r="H637" s="20"/>
      <c r="I637" s="20"/>
      <c r="P637" s="241"/>
      <c r="T637" s="1"/>
    </row>
    <row r="638" spans="1:20" ht="12.75" customHeight="1" x14ac:dyDescent="0.2">
      <c r="A638" s="26"/>
      <c r="B638" s="60" t="s">
        <v>210</v>
      </c>
      <c r="C638" s="61" t="s">
        <v>217</v>
      </c>
      <c r="D638" s="35">
        <v>20</v>
      </c>
      <c r="E638" s="35" t="s">
        <v>292</v>
      </c>
      <c r="F638" s="34">
        <f>IFERROR(_xlfn.XLOOKUP(E638,Index!$A:$A,Index!$B:$B),"")</f>
        <v>63.5</v>
      </c>
      <c r="G638" s="20"/>
      <c r="H638" s="20"/>
      <c r="I638" s="20"/>
      <c r="P638" s="241"/>
      <c r="T638" s="1"/>
    </row>
    <row r="639" spans="1:20" ht="12.75" customHeight="1" x14ac:dyDescent="0.2">
      <c r="A639" s="26"/>
      <c r="B639" s="26"/>
      <c r="C639" s="35">
        <v>1</v>
      </c>
      <c r="D639" s="35">
        <v>25</v>
      </c>
      <c r="E639" s="35" t="s">
        <v>292</v>
      </c>
      <c r="F639" s="34">
        <f>IFERROR(_xlfn.XLOOKUP(E639,Index!$A:$A,Index!$B:$B),"")</f>
        <v>63.5</v>
      </c>
      <c r="G639" s="20"/>
      <c r="H639" s="20"/>
      <c r="I639" s="20"/>
      <c r="P639" s="241"/>
      <c r="T639" s="1"/>
    </row>
    <row r="640" spans="1:20" ht="12.75" customHeight="1" x14ac:dyDescent="0.2">
      <c r="A640" s="26"/>
      <c r="B640" s="26"/>
      <c r="C640" s="35" t="s">
        <v>223</v>
      </c>
      <c r="D640" s="35">
        <v>32</v>
      </c>
      <c r="E640" s="35" t="s">
        <v>293</v>
      </c>
      <c r="F640" s="34">
        <f>IFERROR(_xlfn.XLOOKUP(E640,Index!$A:$A,Index!$B:$B),"")</f>
        <v>80.5</v>
      </c>
      <c r="G640" s="20"/>
      <c r="H640" s="20"/>
      <c r="I640" s="20"/>
      <c r="P640" s="241"/>
      <c r="T640" s="1"/>
    </row>
    <row r="641" spans="1:20" ht="12.75" customHeight="1" x14ac:dyDescent="0.2">
      <c r="A641" s="26"/>
      <c r="B641" s="26"/>
      <c r="C641" s="35" t="s">
        <v>225</v>
      </c>
      <c r="D641" s="35">
        <v>40</v>
      </c>
      <c r="E641" s="35" t="s">
        <v>293</v>
      </c>
      <c r="F641" s="34">
        <f>IFERROR(_xlfn.XLOOKUP(E641,Index!$A:$A,Index!$B:$B),"")</f>
        <v>80.5</v>
      </c>
      <c r="G641" s="20"/>
      <c r="H641" s="20"/>
      <c r="I641" s="20"/>
      <c r="P641" s="241"/>
      <c r="T641" s="1"/>
    </row>
    <row r="642" spans="1:20" ht="12.75" customHeight="1" x14ac:dyDescent="0.2">
      <c r="A642" s="26"/>
      <c r="B642" s="26"/>
      <c r="C642" s="35">
        <v>2</v>
      </c>
      <c r="D642" s="35">
        <v>50</v>
      </c>
      <c r="E642" s="35" t="s">
        <v>426</v>
      </c>
      <c r="F642" s="34">
        <f>IFERROR(_xlfn.XLOOKUP(E642,Index!$A:$A,Index!$B:$B),"")</f>
        <v>88.5</v>
      </c>
      <c r="G642" s="20"/>
      <c r="H642" s="20"/>
      <c r="I642" s="20"/>
      <c r="P642" s="241"/>
      <c r="T642" s="1"/>
    </row>
    <row r="643" spans="1:20" ht="12.75" customHeight="1" x14ac:dyDescent="0.2">
      <c r="A643" s="26"/>
      <c r="B643" s="26"/>
      <c r="C643" s="35" t="s">
        <v>231</v>
      </c>
      <c r="D643" s="35">
        <v>65</v>
      </c>
      <c r="E643" s="35" t="s">
        <v>427</v>
      </c>
      <c r="F643" s="34">
        <f>IFERROR(_xlfn.XLOOKUP(E643,Index!$A:$A,Index!$B:$B),"")</f>
        <v>93.5</v>
      </c>
      <c r="G643" s="20"/>
      <c r="H643" s="20"/>
      <c r="I643" s="20"/>
      <c r="P643" s="241"/>
      <c r="T643" s="1"/>
    </row>
    <row r="644" spans="1:20" ht="12.75" customHeight="1" x14ac:dyDescent="0.2">
      <c r="A644" s="26"/>
      <c r="B644" s="26"/>
      <c r="C644" s="35">
        <v>3</v>
      </c>
      <c r="D644" s="35">
        <v>80</v>
      </c>
      <c r="E644" s="35" t="s">
        <v>428</v>
      </c>
      <c r="F644" s="34">
        <f>IFERROR(_xlfn.XLOOKUP(E644,Index!$A:$A,Index!$B:$B),"")</f>
        <v>125</v>
      </c>
      <c r="G644" s="20"/>
      <c r="H644" s="20"/>
      <c r="I644" s="20"/>
      <c r="P644" s="241"/>
      <c r="T644" s="1"/>
    </row>
    <row r="645" spans="1:20" ht="12.75" customHeight="1" x14ac:dyDescent="0.2">
      <c r="A645" s="26"/>
      <c r="B645" s="26"/>
      <c r="C645" s="35">
        <v>4</v>
      </c>
      <c r="D645" s="35">
        <v>100</v>
      </c>
      <c r="E645" s="35" t="s">
        <v>429</v>
      </c>
      <c r="F645" s="34">
        <f>IFERROR(_xlfn.XLOOKUP(E645,Index!$A:$A,Index!$B:$B),"")</f>
        <v>133.5</v>
      </c>
      <c r="G645" s="20"/>
      <c r="H645" s="20"/>
      <c r="I645" s="20"/>
      <c r="P645" s="241"/>
      <c r="T645" s="1"/>
    </row>
    <row r="646" spans="1:20" ht="12.75" customHeight="1" x14ac:dyDescent="0.2">
      <c r="A646" s="26"/>
      <c r="B646" s="60" t="s">
        <v>298</v>
      </c>
      <c r="C646" s="35">
        <v>5</v>
      </c>
      <c r="D646" s="35">
        <v>125</v>
      </c>
      <c r="E646" s="35" t="s">
        <v>430</v>
      </c>
      <c r="F646" s="34">
        <f>IFERROR(_xlfn.XLOOKUP(E646,Index!$A:$A,Index!$B:$B),"")</f>
        <v>258.5</v>
      </c>
      <c r="G646" s="20"/>
      <c r="H646" s="20"/>
      <c r="I646" s="20"/>
      <c r="P646" s="241"/>
      <c r="T646" s="1"/>
    </row>
    <row r="647" spans="1:20" ht="12.75" customHeight="1" x14ac:dyDescent="0.2">
      <c r="A647" s="26"/>
      <c r="B647" s="26"/>
      <c r="C647" s="35">
        <v>6</v>
      </c>
      <c r="D647" s="35">
        <v>150</v>
      </c>
      <c r="E647" s="35" t="s">
        <v>431</v>
      </c>
      <c r="F647" s="34">
        <f>IFERROR(_xlfn.XLOOKUP(E647,Index!$A:$A,Index!$B:$B),"")</f>
        <v>320</v>
      </c>
      <c r="G647" s="20"/>
      <c r="H647" s="20"/>
      <c r="I647" s="20"/>
      <c r="P647" s="241"/>
      <c r="T647" s="1"/>
    </row>
    <row r="648" spans="1:20" ht="12.75" customHeight="1" x14ac:dyDescent="0.2">
      <c r="A648" s="26"/>
      <c r="B648" s="26"/>
      <c r="C648" s="35">
        <v>8</v>
      </c>
      <c r="D648" s="35">
        <v>200</v>
      </c>
      <c r="E648" s="35" t="s">
        <v>432</v>
      </c>
      <c r="F648" s="34">
        <f>IFERROR(_xlfn.XLOOKUP(E648,Index!$A:$A,Index!$B:$B),"")</f>
        <v>1163</v>
      </c>
      <c r="G648" s="20"/>
      <c r="H648" s="20"/>
      <c r="I648" s="20"/>
      <c r="P648" s="241"/>
      <c r="T648" s="1"/>
    </row>
    <row r="649" spans="1:20" ht="12.75" customHeight="1" x14ac:dyDescent="0.2">
      <c r="A649" s="26"/>
      <c r="B649" s="26"/>
      <c r="C649" s="35">
        <v>10</v>
      </c>
      <c r="D649" s="35">
        <v>250</v>
      </c>
      <c r="E649" s="35" t="s">
        <v>433</v>
      </c>
      <c r="F649" s="34">
        <f>IFERROR(_xlfn.XLOOKUP(E649,Index!$A:$A,Index!$B:$B),"")</f>
        <v>1460</v>
      </c>
      <c r="G649" s="20"/>
      <c r="H649" s="20"/>
      <c r="I649" s="20"/>
      <c r="P649" s="241"/>
      <c r="T649" s="1"/>
    </row>
    <row r="650" spans="1:20" ht="12.75" customHeight="1" x14ac:dyDescent="0.2">
      <c r="A650" s="26"/>
      <c r="B650" s="26"/>
      <c r="C650" s="35">
        <v>12</v>
      </c>
      <c r="D650" s="35">
        <v>300</v>
      </c>
      <c r="E650" s="35" t="s">
        <v>434</v>
      </c>
      <c r="F650" s="34">
        <f>IFERROR(_xlfn.XLOOKUP(E650,Index!$A:$A,Index!$B:$B),"")</f>
        <v>1579</v>
      </c>
      <c r="G650" s="20"/>
      <c r="H650" s="20"/>
      <c r="I650" s="20"/>
      <c r="P650" s="241"/>
      <c r="T650" s="1"/>
    </row>
    <row r="651" spans="1:20" ht="12.75" customHeight="1" x14ac:dyDescent="0.2">
      <c r="A651" s="26"/>
      <c r="B651" s="26"/>
      <c r="C651" s="35">
        <v>14</v>
      </c>
      <c r="D651" s="35">
        <v>350</v>
      </c>
      <c r="E651" s="35" t="s">
        <v>435</v>
      </c>
      <c r="F651" s="34">
        <f>IFERROR(_xlfn.XLOOKUP(E651,Index!$A:$A,Index!$B:$B),"")</f>
        <v>2535</v>
      </c>
      <c r="G651" s="20"/>
      <c r="H651" s="20"/>
      <c r="I651" s="20"/>
      <c r="P651" s="241"/>
      <c r="T651" s="1"/>
    </row>
    <row r="652" spans="1:20" ht="12.75" customHeight="1" x14ac:dyDescent="0.2">
      <c r="A652" s="26"/>
      <c r="B652" s="26"/>
      <c r="C652" s="35">
        <v>16</v>
      </c>
      <c r="D652" s="35">
        <v>400</v>
      </c>
      <c r="E652" s="35" t="s">
        <v>436</v>
      </c>
      <c r="F652" s="34">
        <f>IFERROR(_xlfn.XLOOKUP(E652,Index!$A:$A,Index!$B:$B),"")</f>
        <v>2535</v>
      </c>
      <c r="G652" s="20"/>
      <c r="H652" s="20"/>
      <c r="I652" s="20"/>
      <c r="P652" s="241"/>
      <c r="T652" s="1"/>
    </row>
    <row r="653" spans="1:20" ht="12.75" customHeight="1" x14ac:dyDescent="0.2">
      <c r="A653" s="26"/>
      <c r="B653" s="26"/>
      <c r="C653" s="35">
        <v>18</v>
      </c>
      <c r="D653" s="35">
        <v>450</v>
      </c>
      <c r="E653" s="35" t="s">
        <v>437</v>
      </c>
      <c r="F653" s="34">
        <f>IFERROR(_xlfn.XLOOKUP(E653,Index!$A:$A,Index!$B:$B),"")</f>
        <v>4682</v>
      </c>
      <c r="G653" s="20"/>
      <c r="H653" s="20"/>
      <c r="I653" s="20"/>
      <c r="P653" s="241"/>
      <c r="T653" s="1"/>
    </row>
    <row r="654" spans="1:20" ht="12.75" customHeight="1" x14ac:dyDescent="0.2">
      <c r="A654" s="26"/>
      <c r="B654" s="26"/>
      <c r="C654" s="35">
        <v>20</v>
      </c>
      <c r="D654" s="35">
        <v>500</v>
      </c>
      <c r="E654" s="35" t="s">
        <v>438</v>
      </c>
      <c r="F654" s="34">
        <f>IFERROR(_xlfn.XLOOKUP(E654,Index!$A:$A,Index!$B:$B),"")</f>
        <v>6157</v>
      </c>
      <c r="G654" s="20"/>
      <c r="H654" s="20"/>
      <c r="I654" s="20"/>
      <c r="P654" s="241"/>
      <c r="T654" s="1"/>
    </row>
    <row r="655" spans="1:20" ht="12.75" customHeight="1" x14ac:dyDescent="0.2">
      <c r="A655" s="26"/>
      <c r="B655" s="26"/>
      <c r="C655" s="89">
        <v>24</v>
      </c>
      <c r="D655" s="89">
        <v>550</v>
      </c>
      <c r="E655" s="89" t="s">
        <v>439</v>
      </c>
      <c r="F655" s="34">
        <f>IFERROR(_xlfn.XLOOKUP(E655,Index!$A:$A,Index!$B:$B),"")</f>
        <v>7858</v>
      </c>
      <c r="G655" s="20"/>
      <c r="H655" s="20"/>
      <c r="I655" s="20"/>
      <c r="P655" s="241"/>
      <c r="T655" s="1"/>
    </row>
    <row r="656" spans="1:20" ht="12.75" customHeight="1" x14ac:dyDescent="0.2">
      <c r="A656" s="26"/>
      <c r="B656" s="60" t="s">
        <v>211</v>
      </c>
      <c r="C656" s="61" t="s">
        <v>217</v>
      </c>
      <c r="D656" s="35">
        <v>20</v>
      </c>
      <c r="E656" s="35" t="s">
        <v>440</v>
      </c>
      <c r="F656" s="34">
        <f>IFERROR(_xlfn.XLOOKUP(E656,Index!$A:$A,Index!$B:$B),"")</f>
        <v>83.25</v>
      </c>
      <c r="G656" s="20"/>
      <c r="H656" s="20"/>
      <c r="I656" s="20"/>
      <c r="P656" s="241"/>
      <c r="T656" s="1"/>
    </row>
    <row r="657" spans="1:20" ht="12.75" customHeight="1" x14ac:dyDescent="0.2">
      <c r="A657" s="26"/>
      <c r="B657" s="26"/>
      <c r="C657" s="35">
        <v>1</v>
      </c>
      <c r="D657" s="35">
        <v>25</v>
      </c>
      <c r="E657" s="35" t="s">
        <v>440</v>
      </c>
      <c r="F657" s="34">
        <f>IFERROR(_xlfn.XLOOKUP(E657,Index!$A:$A,Index!$B:$B),"")</f>
        <v>83.25</v>
      </c>
      <c r="G657" s="20"/>
      <c r="H657" s="20"/>
      <c r="I657" s="20"/>
      <c r="P657" s="241"/>
      <c r="T657" s="1"/>
    </row>
    <row r="658" spans="1:20" ht="12.75" customHeight="1" x14ac:dyDescent="0.2">
      <c r="A658" s="26"/>
      <c r="B658" s="26"/>
      <c r="C658" s="35" t="s">
        <v>223</v>
      </c>
      <c r="D658" s="35">
        <v>32</v>
      </c>
      <c r="E658" s="35" t="s">
        <v>441</v>
      </c>
      <c r="F658" s="34">
        <f>IFERROR(_xlfn.XLOOKUP(E658,Index!$A:$A,Index!$B:$B),"")</f>
        <v>92</v>
      </c>
      <c r="G658" s="20"/>
      <c r="H658" s="20"/>
      <c r="I658" s="20"/>
      <c r="P658" s="241"/>
      <c r="T658" s="1"/>
    </row>
    <row r="659" spans="1:20" ht="12.75" customHeight="1" x14ac:dyDescent="0.2">
      <c r="A659" s="26"/>
      <c r="B659" s="26"/>
      <c r="C659" s="35" t="s">
        <v>225</v>
      </c>
      <c r="D659" s="35">
        <v>40</v>
      </c>
      <c r="E659" s="35" t="s">
        <v>441</v>
      </c>
      <c r="F659" s="34">
        <f>IFERROR(_xlfn.XLOOKUP(E659,Index!$A:$A,Index!$B:$B),"")</f>
        <v>92</v>
      </c>
      <c r="G659" s="20"/>
      <c r="H659" s="20"/>
      <c r="I659" s="20"/>
      <c r="P659" s="241"/>
      <c r="T659" s="1"/>
    </row>
    <row r="660" spans="1:20" ht="12.75" customHeight="1" x14ac:dyDescent="0.2">
      <c r="A660" s="26"/>
      <c r="B660" s="26"/>
      <c r="C660" s="35">
        <v>2</v>
      </c>
      <c r="D660" s="35">
        <v>50</v>
      </c>
      <c r="E660" s="35" t="s">
        <v>2831</v>
      </c>
      <c r="F660" s="34">
        <f>IFERROR(_xlfn.XLOOKUP(E660,Index!$A:$A,Index!$B:$B),"")</f>
        <v>92</v>
      </c>
      <c r="G660" s="20"/>
      <c r="H660" s="20"/>
      <c r="I660" s="20"/>
      <c r="P660" s="241"/>
      <c r="T660" s="1"/>
    </row>
    <row r="661" spans="1:20" ht="12.75" customHeight="1" x14ac:dyDescent="0.2">
      <c r="A661" s="26"/>
      <c r="B661" s="26"/>
      <c r="C661" s="35" t="s">
        <v>231</v>
      </c>
      <c r="D661" s="35">
        <v>65</v>
      </c>
      <c r="E661" s="35" t="s">
        <v>2832</v>
      </c>
      <c r="F661" s="34">
        <f>IFERROR(_xlfn.XLOOKUP(E661,Index!$A:$A,Index!$B:$B),"")</f>
        <v>108.5</v>
      </c>
      <c r="G661" s="20"/>
      <c r="H661" s="20"/>
      <c r="I661" s="20"/>
      <c r="P661" s="241"/>
      <c r="T661" s="1"/>
    </row>
    <row r="662" spans="1:20" ht="12.75" customHeight="1" x14ac:dyDescent="0.2">
      <c r="A662" s="26"/>
      <c r="B662" s="26"/>
      <c r="C662" s="35">
        <v>3</v>
      </c>
      <c r="D662" s="35">
        <v>80</v>
      </c>
      <c r="E662" s="35" t="s">
        <v>442</v>
      </c>
      <c r="F662" s="34">
        <f>IFERROR(_xlfn.XLOOKUP(E662,Index!$A:$A,Index!$B:$B),"")</f>
        <v>125</v>
      </c>
      <c r="G662" s="20"/>
      <c r="H662" s="20"/>
      <c r="I662" s="20"/>
      <c r="P662" s="241"/>
      <c r="T662" s="1"/>
    </row>
    <row r="663" spans="1:20" ht="12.75" customHeight="1" x14ac:dyDescent="0.2">
      <c r="A663" s="26"/>
      <c r="B663" s="26"/>
      <c r="C663" s="35">
        <v>4</v>
      </c>
      <c r="D663" s="35">
        <v>100</v>
      </c>
      <c r="E663" s="35" t="s">
        <v>443</v>
      </c>
      <c r="F663" s="34">
        <f>IFERROR(_xlfn.XLOOKUP(E663,Index!$A:$A,Index!$B:$B),"")</f>
        <v>204</v>
      </c>
      <c r="G663" s="20"/>
      <c r="H663" s="20"/>
      <c r="I663" s="20"/>
      <c r="P663" s="241"/>
      <c r="T663" s="1"/>
    </row>
    <row r="664" spans="1:20" ht="12.75" customHeight="1" x14ac:dyDescent="0.2">
      <c r="A664" s="26"/>
      <c r="B664" s="26"/>
      <c r="C664" s="35">
        <v>5</v>
      </c>
      <c r="D664" s="35">
        <v>125</v>
      </c>
      <c r="E664" s="35" t="s">
        <v>444</v>
      </c>
      <c r="F664" s="34">
        <f>IFERROR(_xlfn.XLOOKUP(E664,Index!$A:$A,Index!$B:$B),"")</f>
        <v>316</v>
      </c>
      <c r="G664" s="20"/>
      <c r="H664" s="20"/>
      <c r="I664" s="20"/>
      <c r="P664" s="241"/>
      <c r="T664" s="1"/>
    </row>
    <row r="665" spans="1:20" ht="12.75" customHeight="1" x14ac:dyDescent="0.2">
      <c r="A665" s="26"/>
      <c r="B665" s="26"/>
      <c r="C665" s="35">
        <v>6</v>
      </c>
      <c r="D665" s="35">
        <v>150</v>
      </c>
      <c r="E665" s="35" t="s">
        <v>445</v>
      </c>
      <c r="F665" s="34">
        <f>IFERROR(_xlfn.XLOOKUP(E665,Index!$A:$A,Index!$B:$B),"")</f>
        <v>394.5</v>
      </c>
      <c r="G665" s="20"/>
      <c r="H665" s="20"/>
      <c r="I665" s="20"/>
      <c r="P665" s="241"/>
      <c r="T665" s="1"/>
    </row>
    <row r="666" spans="1:20" ht="12.75" customHeight="1" x14ac:dyDescent="0.2">
      <c r="A666" s="26"/>
      <c r="B666" s="26"/>
      <c r="C666" s="35">
        <v>8</v>
      </c>
      <c r="D666" s="35">
        <v>200</v>
      </c>
      <c r="E666" s="35" t="s">
        <v>446</v>
      </c>
      <c r="F666" s="34">
        <f>IFERROR(_xlfn.XLOOKUP(E666,Index!$A:$A,Index!$B:$B),"")</f>
        <v>1246</v>
      </c>
      <c r="G666" s="20"/>
      <c r="H666" s="20"/>
      <c r="I666" s="20"/>
      <c r="P666" s="241"/>
      <c r="T666" s="1"/>
    </row>
    <row r="667" spans="1:20" ht="12.75" customHeight="1" x14ac:dyDescent="0.2">
      <c r="A667" s="26"/>
      <c r="B667" s="26"/>
      <c r="C667" s="35">
        <v>10</v>
      </c>
      <c r="D667" s="35">
        <v>250</v>
      </c>
      <c r="E667" s="35" t="s">
        <v>447</v>
      </c>
      <c r="F667" s="34">
        <f>IFERROR(_xlfn.XLOOKUP(E667,Index!$A:$A,Index!$B:$B),"")</f>
        <v>2084</v>
      </c>
      <c r="G667" s="20"/>
      <c r="H667" s="20"/>
      <c r="I667" s="20"/>
      <c r="P667" s="241"/>
      <c r="T667" s="1"/>
    </row>
    <row r="668" spans="1:20" ht="12.75" customHeight="1" x14ac:dyDescent="0.2">
      <c r="A668" s="26"/>
      <c r="B668" s="26"/>
      <c r="C668" s="35">
        <v>12</v>
      </c>
      <c r="D668" s="35">
        <v>300</v>
      </c>
      <c r="E668" s="35" t="s">
        <v>448</v>
      </c>
      <c r="F668" s="34">
        <f>IFERROR(_xlfn.XLOOKUP(E668,Index!$A:$A,Index!$B:$B),"")</f>
        <v>1943</v>
      </c>
      <c r="G668" s="20"/>
      <c r="H668" s="20"/>
      <c r="I668" s="20"/>
      <c r="P668" s="241"/>
      <c r="T668" s="1"/>
    </row>
    <row r="669" spans="1:20" ht="12.75" customHeight="1" x14ac:dyDescent="0.2">
      <c r="A669" s="26"/>
      <c r="B669" s="26"/>
      <c r="C669" s="35">
        <v>14</v>
      </c>
      <c r="D669" s="35">
        <v>350</v>
      </c>
      <c r="E669" s="35" t="s">
        <v>449</v>
      </c>
      <c r="F669" s="34">
        <f>IFERROR(_xlfn.XLOOKUP(E669,Index!$A:$A,Index!$B:$B),"")</f>
        <v>3150</v>
      </c>
      <c r="G669" s="20"/>
      <c r="H669" s="20"/>
      <c r="I669" s="20"/>
      <c r="P669" s="241"/>
      <c r="T669" s="1"/>
    </row>
    <row r="670" spans="1:20" ht="12.75" customHeight="1" x14ac:dyDescent="0.2">
      <c r="A670" s="26"/>
      <c r="B670" s="26"/>
      <c r="C670" s="35">
        <v>16</v>
      </c>
      <c r="D670" s="35">
        <v>400</v>
      </c>
      <c r="E670" s="35" t="s">
        <v>450</v>
      </c>
      <c r="F670" s="34">
        <f>IFERROR(_xlfn.XLOOKUP(E670,Index!$A:$A,Index!$B:$B),"")</f>
        <v>4435</v>
      </c>
      <c r="G670" s="20"/>
      <c r="H670" s="20"/>
      <c r="I670" s="20"/>
      <c r="P670" s="241"/>
      <c r="T670" s="1"/>
    </row>
    <row r="671" spans="1:20" ht="12.75" customHeight="1" x14ac:dyDescent="0.2">
      <c r="A671" s="26"/>
      <c r="B671" s="26"/>
      <c r="C671" s="35">
        <v>18</v>
      </c>
      <c r="D671" s="35">
        <v>450</v>
      </c>
      <c r="E671" s="38" t="s">
        <v>5542</v>
      </c>
      <c r="F671" s="250">
        <f>F670+1125</f>
        <v>5560</v>
      </c>
      <c r="G671" s="20"/>
      <c r="H671" s="20"/>
      <c r="I671" s="20"/>
      <c r="P671" s="241"/>
      <c r="T671" s="1"/>
    </row>
    <row r="672" spans="1:20" ht="12.75" customHeight="1" x14ac:dyDescent="0.2">
      <c r="A672" s="26"/>
      <c r="B672" s="26"/>
      <c r="C672" s="35">
        <v>20</v>
      </c>
      <c r="D672" s="35">
        <v>500</v>
      </c>
      <c r="E672" s="38" t="s">
        <v>5542</v>
      </c>
      <c r="F672" s="250">
        <f>F671+803</f>
        <v>6363</v>
      </c>
      <c r="G672" s="20"/>
      <c r="H672" s="20"/>
      <c r="I672" s="20"/>
      <c r="P672" s="241"/>
      <c r="T672" s="1"/>
    </row>
    <row r="673" spans="1:20" ht="12.75" customHeight="1" x14ac:dyDescent="0.2">
      <c r="A673" s="26"/>
      <c r="B673" s="27"/>
      <c r="C673" s="35">
        <v>24</v>
      </c>
      <c r="D673" s="35">
        <v>550</v>
      </c>
      <c r="E673" s="38" t="s">
        <v>5542</v>
      </c>
      <c r="F673" s="250">
        <f>F672+492</f>
        <v>6855</v>
      </c>
      <c r="G673" s="20"/>
      <c r="H673" s="20"/>
      <c r="I673" s="20"/>
      <c r="P673" s="241"/>
      <c r="T673" s="1"/>
    </row>
    <row r="674" spans="1:20" ht="12.75" customHeight="1" x14ac:dyDescent="0.2">
      <c r="A674" s="26"/>
      <c r="B674" s="60" t="s">
        <v>122</v>
      </c>
      <c r="C674" s="61" t="s">
        <v>217</v>
      </c>
      <c r="D674" s="35">
        <v>20</v>
      </c>
      <c r="E674" s="38" t="s">
        <v>5542</v>
      </c>
      <c r="F674" s="250">
        <f>F656</f>
        <v>83.25</v>
      </c>
      <c r="G674" s="20"/>
      <c r="H674" s="20"/>
      <c r="I674" s="20"/>
      <c r="P674" s="241"/>
      <c r="T674" s="1"/>
    </row>
    <row r="675" spans="1:20" ht="12.75" customHeight="1" x14ac:dyDescent="0.2">
      <c r="A675" s="26"/>
      <c r="B675" s="26"/>
      <c r="C675" s="35">
        <v>1</v>
      </c>
      <c r="D675" s="35">
        <v>25</v>
      </c>
      <c r="E675" s="35" t="s">
        <v>319</v>
      </c>
      <c r="F675" s="34">
        <f>IFERROR(_xlfn.XLOOKUP(E675,Index!$A:$A,Index!$B:$B),"")</f>
        <v>442.5</v>
      </c>
      <c r="G675" s="20"/>
      <c r="H675" s="20"/>
      <c r="I675" s="20"/>
      <c r="P675" s="241"/>
      <c r="T675" s="1"/>
    </row>
    <row r="676" spans="1:20" ht="12.75" customHeight="1" x14ac:dyDescent="0.2">
      <c r="A676" s="26"/>
      <c r="B676" s="26"/>
      <c r="C676" s="35" t="s">
        <v>223</v>
      </c>
      <c r="D676" s="35">
        <v>32</v>
      </c>
      <c r="E676" s="35" t="s">
        <v>320</v>
      </c>
      <c r="F676" s="34">
        <f>IFERROR(_xlfn.XLOOKUP(E676,Index!$A:$A,Index!$B:$B),"")</f>
        <v>442.5</v>
      </c>
      <c r="G676" s="20"/>
      <c r="H676" s="20"/>
      <c r="I676" s="20"/>
      <c r="P676" s="241"/>
      <c r="T676" s="1"/>
    </row>
    <row r="677" spans="1:20" ht="12.75" customHeight="1" x14ac:dyDescent="0.2">
      <c r="A677" s="26"/>
      <c r="B677" s="26"/>
      <c r="C677" s="35" t="s">
        <v>225</v>
      </c>
      <c r="D677" s="35">
        <v>40</v>
      </c>
      <c r="E677" s="35" t="s">
        <v>320</v>
      </c>
      <c r="F677" s="34">
        <f>IFERROR(_xlfn.XLOOKUP(E677,Index!$A:$A,Index!$B:$B),"")</f>
        <v>442.5</v>
      </c>
      <c r="G677" s="20"/>
      <c r="H677" s="20"/>
      <c r="I677" s="20"/>
      <c r="P677" s="241"/>
      <c r="T677" s="1"/>
    </row>
    <row r="678" spans="1:20" ht="12.75" customHeight="1" x14ac:dyDescent="0.2">
      <c r="A678" s="26"/>
      <c r="B678" s="26"/>
      <c r="C678" s="35">
        <v>2</v>
      </c>
      <c r="D678" s="35">
        <v>50</v>
      </c>
      <c r="E678" s="35" t="s">
        <v>2833</v>
      </c>
      <c r="F678" s="34">
        <f>IFERROR(_xlfn.XLOOKUP(E678,Index!$A:$A,Index!$B:$B),"")</f>
        <v>92</v>
      </c>
      <c r="G678" s="20"/>
      <c r="H678" s="20"/>
      <c r="I678" s="20"/>
      <c r="P678" s="241"/>
      <c r="T678" s="1"/>
    </row>
    <row r="679" spans="1:20" ht="12.75" customHeight="1" x14ac:dyDescent="0.2">
      <c r="A679" s="26"/>
      <c r="B679" s="26"/>
      <c r="C679" s="35" t="s">
        <v>231</v>
      </c>
      <c r="D679" s="35">
        <v>65</v>
      </c>
      <c r="E679" s="35" t="s">
        <v>451</v>
      </c>
      <c r="F679" s="34">
        <f>IFERROR(_xlfn.XLOOKUP(E679,Index!$A:$A,Index!$B:$B),"")</f>
        <v>108.5</v>
      </c>
      <c r="G679" s="20"/>
      <c r="H679" s="20"/>
      <c r="I679" s="20"/>
      <c r="P679" s="241"/>
      <c r="T679" s="1"/>
    </row>
    <row r="680" spans="1:20" ht="12.75" customHeight="1" x14ac:dyDescent="0.2">
      <c r="A680" s="26"/>
      <c r="B680" s="26"/>
      <c r="C680" s="35">
        <v>3</v>
      </c>
      <c r="D680" s="35">
        <v>80</v>
      </c>
      <c r="E680" s="35" t="s">
        <v>452</v>
      </c>
      <c r="F680" s="34">
        <f>IFERROR(_xlfn.XLOOKUP(E680,Index!$A:$A,Index!$B:$B),"")</f>
        <v>125</v>
      </c>
      <c r="G680" s="20"/>
      <c r="H680" s="20"/>
      <c r="I680" s="20"/>
      <c r="P680" s="241"/>
      <c r="T680" s="1"/>
    </row>
    <row r="681" spans="1:20" ht="12.75" customHeight="1" x14ac:dyDescent="0.2">
      <c r="A681" s="26"/>
      <c r="B681" s="26"/>
      <c r="C681" s="35">
        <v>4</v>
      </c>
      <c r="D681" s="35">
        <v>100</v>
      </c>
      <c r="E681" s="35" t="s">
        <v>453</v>
      </c>
      <c r="F681" s="34">
        <f>IFERROR(_xlfn.XLOOKUP(E681,Index!$A:$A,Index!$B:$B),"")</f>
        <v>204</v>
      </c>
      <c r="G681" s="20"/>
      <c r="H681" s="20"/>
      <c r="I681" s="20"/>
      <c r="P681" s="241"/>
      <c r="T681" s="1"/>
    </row>
    <row r="682" spans="1:20" ht="12.75" customHeight="1" x14ac:dyDescent="0.2">
      <c r="A682" s="26"/>
      <c r="B682" s="26"/>
      <c r="C682" s="35">
        <v>5</v>
      </c>
      <c r="D682" s="35">
        <v>125</v>
      </c>
      <c r="E682" s="35" t="s">
        <v>2834</v>
      </c>
      <c r="F682" s="34">
        <f>IFERROR(_xlfn.XLOOKUP(E682,Index!$A:$A,Index!$B:$B),"")</f>
        <v>316</v>
      </c>
      <c r="G682" s="20"/>
      <c r="H682" s="20"/>
      <c r="I682" s="20"/>
      <c r="P682" s="241"/>
      <c r="T682" s="1"/>
    </row>
    <row r="683" spans="1:20" ht="12.75" customHeight="1" x14ac:dyDescent="0.2">
      <c r="A683" s="26"/>
      <c r="B683" s="26"/>
      <c r="C683" s="35">
        <v>6</v>
      </c>
      <c r="D683" s="35">
        <v>150</v>
      </c>
      <c r="E683" s="35" t="s">
        <v>454</v>
      </c>
      <c r="F683" s="34">
        <f>IFERROR(_xlfn.XLOOKUP(E683,Index!$A:$A,Index!$B:$B),"")</f>
        <v>394.5</v>
      </c>
      <c r="G683" s="20"/>
      <c r="H683" s="20"/>
      <c r="I683" s="20"/>
      <c r="P683" s="241"/>
      <c r="T683" s="1"/>
    </row>
    <row r="684" spans="1:20" ht="12.75" customHeight="1" x14ac:dyDescent="0.2">
      <c r="A684" s="26"/>
      <c r="B684" s="26"/>
      <c r="C684" s="35">
        <v>8</v>
      </c>
      <c r="D684" s="35">
        <v>200</v>
      </c>
      <c r="E684" s="35" t="s">
        <v>455</v>
      </c>
      <c r="F684" s="34">
        <f>IFERROR(_xlfn.XLOOKUP(E684,Index!$A:$A,Index!$B:$B),"")</f>
        <v>1246</v>
      </c>
      <c r="G684" s="20"/>
      <c r="H684" s="20"/>
      <c r="I684" s="20"/>
      <c r="P684" s="241"/>
      <c r="T684" s="1"/>
    </row>
    <row r="685" spans="1:20" ht="12.75" customHeight="1" x14ac:dyDescent="0.2">
      <c r="A685" s="26"/>
      <c r="B685" s="26"/>
      <c r="C685" s="35">
        <v>10</v>
      </c>
      <c r="D685" s="35">
        <v>250</v>
      </c>
      <c r="E685" s="35" t="s">
        <v>2835</v>
      </c>
      <c r="F685" s="34">
        <f>IFERROR(_xlfn.XLOOKUP(E685,Index!$A:$A,Index!$B:$B),"")</f>
        <v>2084</v>
      </c>
      <c r="G685" s="20"/>
      <c r="H685" s="20"/>
      <c r="I685" s="20"/>
      <c r="P685" s="241"/>
      <c r="T685" s="1"/>
    </row>
    <row r="686" spans="1:20" ht="12.75" customHeight="1" x14ac:dyDescent="0.2">
      <c r="A686" s="26"/>
      <c r="B686" s="26"/>
      <c r="C686" s="35">
        <v>12</v>
      </c>
      <c r="D686" s="35">
        <v>300</v>
      </c>
      <c r="E686" s="35" t="s">
        <v>2836</v>
      </c>
      <c r="F686" s="34">
        <f>IFERROR(_xlfn.XLOOKUP(E686,Index!$A:$A,Index!$B:$B),"")</f>
        <v>1943</v>
      </c>
      <c r="G686" s="20"/>
      <c r="H686" s="20"/>
      <c r="I686" s="20"/>
      <c r="P686" s="241"/>
      <c r="T686" s="1"/>
    </row>
    <row r="687" spans="1:20" ht="12.75" customHeight="1" x14ac:dyDescent="0.2">
      <c r="A687" s="26"/>
      <c r="B687" s="26"/>
      <c r="C687" s="35">
        <v>14</v>
      </c>
      <c r="D687" s="35">
        <v>350</v>
      </c>
      <c r="E687" s="38" t="s">
        <v>5542</v>
      </c>
      <c r="F687" s="250">
        <f t="shared" ref="F687:F691" si="4">F669</f>
        <v>3150</v>
      </c>
      <c r="G687" s="20"/>
      <c r="H687" s="20"/>
      <c r="I687" s="20"/>
      <c r="P687" s="241"/>
      <c r="T687" s="1"/>
    </row>
    <row r="688" spans="1:20" ht="12.75" customHeight="1" x14ac:dyDescent="0.2">
      <c r="A688" s="26"/>
      <c r="B688" s="26"/>
      <c r="C688" s="35">
        <v>16</v>
      </c>
      <c r="D688" s="35">
        <v>400</v>
      </c>
      <c r="E688" s="38" t="s">
        <v>5542</v>
      </c>
      <c r="F688" s="250">
        <f t="shared" si="4"/>
        <v>4435</v>
      </c>
      <c r="G688" s="20"/>
      <c r="H688" s="20"/>
      <c r="I688" s="20"/>
      <c r="P688" s="241"/>
      <c r="T688" s="1"/>
    </row>
    <row r="689" spans="1:20" ht="12.75" customHeight="1" x14ac:dyDescent="0.2">
      <c r="A689" s="26"/>
      <c r="B689" s="26"/>
      <c r="C689" s="35">
        <v>18</v>
      </c>
      <c r="D689" s="35">
        <v>450</v>
      </c>
      <c r="E689" s="38" t="s">
        <v>5542</v>
      </c>
      <c r="F689" s="250">
        <f t="shared" si="4"/>
        <v>5560</v>
      </c>
      <c r="G689" s="20"/>
      <c r="H689" s="20"/>
      <c r="I689" s="20"/>
      <c r="P689" s="241"/>
      <c r="T689" s="1"/>
    </row>
    <row r="690" spans="1:20" ht="12.75" customHeight="1" x14ac:dyDescent="0.2">
      <c r="A690" s="26"/>
      <c r="B690" s="26"/>
      <c r="C690" s="35">
        <v>20</v>
      </c>
      <c r="D690" s="35">
        <v>500</v>
      </c>
      <c r="E690" s="38" t="s">
        <v>5542</v>
      </c>
      <c r="F690" s="250">
        <f t="shared" si="4"/>
        <v>6363</v>
      </c>
      <c r="G690" s="20"/>
      <c r="H690" s="20"/>
      <c r="I690" s="20"/>
      <c r="P690" s="241"/>
      <c r="T690" s="1"/>
    </row>
    <row r="691" spans="1:20" ht="12.75" customHeight="1" x14ac:dyDescent="0.2">
      <c r="A691" s="26"/>
      <c r="B691" s="27"/>
      <c r="C691" s="35">
        <v>24</v>
      </c>
      <c r="D691" s="35">
        <v>550</v>
      </c>
      <c r="E691" s="38" t="s">
        <v>5542</v>
      </c>
      <c r="F691" s="250">
        <f t="shared" si="4"/>
        <v>6855</v>
      </c>
      <c r="G691" s="20"/>
      <c r="H691" s="20"/>
      <c r="I691" s="20"/>
      <c r="P691" s="241"/>
      <c r="T691" s="1"/>
    </row>
    <row r="692" spans="1:20" ht="12.75" customHeight="1" x14ac:dyDescent="0.2">
      <c r="A692" s="26"/>
      <c r="B692" s="60" t="s">
        <v>134</v>
      </c>
      <c r="C692" s="61" t="s">
        <v>217</v>
      </c>
      <c r="D692" s="35">
        <v>20</v>
      </c>
      <c r="E692" s="35" t="s">
        <v>456</v>
      </c>
      <c r="F692" s="34">
        <f>IFERROR(_xlfn.XLOOKUP(E692,Index!$A:$A,Index!$B:$B),"")</f>
        <v>83.25</v>
      </c>
      <c r="G692" s="20"/>
      <c r="H692" s="20"/>
      <c r="I692" s="20"/>
      <c r="P692" s="241"/>
      <c r="T692" s="1"/>
    </row>
    <row r="693" spans="1:20" ht="12.75" customHeight="1" x14ac:dyDescent="0.2">
      <c r="A693" s="26"/>
      <c r="B693" s="26"/>
      <c r="C693" s="35">
        <v>1</v>
      </c>
      <c r="D693" s="35">
        <v>25</v>
      </c>
      <c r="E693" s="35" t="s">
        <v>456</v>
      </c>
      <c r="F693" s="34">
        <f>IFERROR(_xlfn.XLOOKUP(E693,Index!$A:$A,Index!$B:$B),"")</f>
        <v>83.25</v>
      </c>
      <c r="G693" s="20"/>
      <c r="H693" s="20"/>
      <c r="I693" s="20"/>
      <c r="P693" s="241"/>
      <c r="T693" s="1"/>
    </row>
    <row r="694" spans="1:20" ht="12.75" customHeight="1" x14ac:dyDescent="0.2">
      <c r="A694" s="26"/>
      <c r="B694" s="26"/>
      <c r="C694" s="35" t="s">
        <v>223</v>
      </c>
      <c r="D694" s="35">
        <v>32</v>
      </c>
      <c r="E694" s="38" t="s">
        <v>5542</v>
      </c>
      <c r="F694" s="250">
        <f t="shared" ref="F694:F695" si="5">F658</f>
        <v>92</v>
      </c>
      <c r="G694" s="20"/>
      <c r="H694" s="20"/>
      <c r="I694" s="20"/>
      <c r="P694" s="241"/>
      <c r="T694" s="1"/>
    </row>
    <row r="695" spans="1:20" ht="12.75" customHeight="1" x14ac:dyDescent="0.2">
      <c r="A695" s="26"/>
      <c r="B695" s="26"/>
      <c r="C695" s="35" t="s">
        <v>225</v>
      </c>
      <c r="D695" s="35">
        <v>40</v>
      </c>
      <c r="E695" s="38" t="s">
        <v>5542</v>
      </c>
      <c r="F695" s="250">
        <f t="shared" si="5"/>
        <v>92</v>
      </c>
      <c r="G695" s="20"/>
      <c r="H695" s="20"/>
      <c r="I695" s="20"/>
      <c r="P695" s="241"/>
      <c r="T695" s="1"/>
    </row>
    <row r="696" spans="1:20" ht="12.75" customHeight="1" x14ac:dyDescent="0.2">
      <c r="A696" s="26"/>
      <c r="B696" s="26"/>
      <c r="C696" s="35">
        <v>2</v>
      </c>
      <c r="D696" s="35">
        <v>50</v>
      </c>
      <c r="E696" s="35" t="s">
        <v>2837</v>
      </c>
      <c r="F696" s="34">
        <f>IFERROR(_xlfn.XLOOKUP(E696,Index!$A:$A,Index!$B:$B),"")</f>
        <v>92</v>
      </c>
      <c r="G696" s="20"/>
      <c r="H696" s="20"/>
      <c r="I696" s="20"/>
      <c r="P696" s="241"/>
      <c r="T696" s="1"/>
    </row>
    <row r="697" spans="1:20" ht="12.75" customHeight="1" x14ac:dyDescent="0.2">
      <c r="A697" s="26"/>
      <c r="B697" s="26"/>
      <c r="C697" s="35" t="s">
        <v>231</v>
      </c>
      <c r="D697" s="35">
        <v>65</v>
      </c>
      <c r="E697" s="35" t="s">
        <v>2838</v>
      </c>
      <c r="F697" s="34">
        <f>IFERROR(_xlfn.XLOOKUP(E697,Index!$A:$A,Index!$B:$B),"")</f>
        <v>108.5</v>
      </c>
      <c r="G697" s="20"/>
      <c r="H697" s="20"/>
      <c r="I697" s="20"/>
      <c r="P697" s="241"/>
      <c r="T697" s="1"/>
    </row>
    <row r="698" spans="1:20" ht="12.75" customHeight="1" x14ac:dyDescent="0.2">
      <c r="A698" s="26"/>
      <c r="B698" s="26"/>
      <c r="C698" s="35">
        <v>3</v>
      </c>
      <c r="D698" s="35">
        <v>80</v>
      </c>
      <c r="E698" s="35" t="s">
        <v>2839</v>
      </c>
      <c r="F698" s="34">
        <f>IFERROR(_xlfn.XLOOKUP(E698,Index!$A:$A,Index!$B:$B),"")</f>
        <v>125</v>
      </c>
      <c r="G698" s="20"/>
      <c r="H698" s="20"/>
      <c r="I698" s="20"/>
      <c r="P698" s="241"/>
      <c r="T698" s="1"/>
    </row>
    <row r="699" spans="1:20" ht="12.75" customHeight="1" x14ac:dyDescent="0.2">
      <c r="A699" s="26"/>
      <c r="B699" s="26"/>
      <c r="C699" s="35">
        <v>4</v>
      </c>
      <c r="D699" s="35">
        <v>100</v>
      </c>
      <c r="E699" s="35" t="s">
        <v>457</v>
      </c>
      <c r="F699" s="34">
        <f>IFERROR(_xlfn.XLOOKUP(E699,Index!$A:$A,Index!$B:$B),"")</f>
        <v>204</v>
      </c>
      <c r="G699" s="20"/>
      <c r="H699" s="20"/>
      <c r="I699" s="20"/>
      <c r="P699" s="241"/>
      <c r="T699" s="1"/>
    </row>
    <row r="700" spans="1:20" ht="12.75" customHeight="1" x14ac:dyDescent="0.2">
      <c r="A700" s="26"/>
      <c r="B700" s="26"/>
      <c r="C700" s="35">
        <v>5</v>
      </c>
      <c r="D700" s="35">
        <v>125</v>
      </c>
      <c r="E700" s="35" t="s">
        <v>2840</v>
      </c>
      <c r="F700" s="34">
        <f>IFERROR(_xlfn.XLOOKUP(E700,Index!$A:$A,Index!$B:$B),"")</f>
        <v>316</v>
      </c>
      <c r="G700" s="20"/>
      <c r="H700" s="20"/>
      <c r="I700" s="20"/>
      <c r="P700" s="241"/>
      <c r="T700" s="1"/>
    </row>
    <row r="701" spans="1:20" ht="12.75" customHeight="1" x14ac:dyDescent="0.2">
      <c r="A701" s="26"/>
      <c r="B701" s="26"/>
      <c r="C701" s="35">
        <v>6</v>
      </c>
      <c r="D701" s="35">
        <v>150</v>
      </c>
      <c r="E701" s="35" t="s">
        <v>458</v>
      </c>
      <c r="F701" s="34">
        <f>IFERROR(_xlfn.XLOOKUP(E701,Index!$A:$A,Index!$B:$B),"")</f>
        <v>394.5</v>
      </c>
      <c r="G701" s="20"/>
      <c r="H701" s="20"/>
      <c r="I701" s="20"/>
      <c r="P701" s="241"/>
      <c r="T701" s="1"/>
    </row>
    <row r="702" spans="1:20" ht="12.75" customHeight="1" x14ac:dyDescent="0.2">
      <c r="A702" s="26"/>
      <c r="B702" s="26"/>
      <c r="C702" s="35">
        <v>8</v>
      </c>
      <c r="D702" s="35">
        <v>200</v>
      </c>
      <c r="E702" s="38" t="s">
        <v>5542</v>
      </c>
      <c r="F702" s="250">
        <f t="shared" ref="F702:F709" si="6">F666</f>
        <v>1246</v>
      </c>
      <c r="G702" s="20"/>
      <c r="H702" s="20"/>
      <c r="I702" s="20"/>
      <c r="P702" s="241"/>
      <c r="T702" s="1"/>
    </row>
    <row r="703" spans="1:20" ht="12.75" customHeight="1" x14ac:dyDescent="0.2">
      <c r="A703" s="26"/>
      <c r="B703" s="26"/>
      <c r="C703" s="35">
        <v>10</v>
      </c>
      <c r="D703" s="35">
        <v>250</v>
      </c>
      <c r="E703" s="38" t="s">
        <v>5542</v>
      </c>
      <c r="F703" s="250">
        <f t="shared" si="6"/>
        <v>2084</v>
      </c>
      <c r="G703" s="20"/>
      <c r="H703" s="20"/>
      <c r="I703" s="20"/>
      <c r="P703" s="241"/>
      <c r="T703" s="1"/>
    </row>
    <row r="704" spans="1:20" ht="12.75" customHeight="1" x14ac:dyDescent="0.2">
      <c r="A704" s="26"/>
      <c r="B704" s="26"/>
      <c r="C704" s="35">
        <v>12</v>
      </c>
      <c r="D704" s="35">
        <v>300</v>
      </c>
      <c r="E704" s="38" t="s">
        <v>5542</v>
      </c>
      <c r="F704" s="250">
        <f t="shared" si="6"/>
        <v>1943</v>
      </c>
      <c r="G704" s="20"/>
      <c r="H704" s="20"/>
      <c r="I704" s="20"/>
      <c r="P704" s="241"/>
      <c r="T704" s="1"/>
    </row>
    <row r="705" spans="1:20" ht="12.75" customHeight="1" x14ac:dyDescent="0.2">
      <c r="A705" s="26"/>
      <c r="B705" s="26"/>
      <c r="C705" s="35">
        <v>14</v>
      </c>
      <c r="D705" s="35">
        <v>350</v>
      </c>
      <c r="E705" s="38" t="s">
        <v>5542</v>
      </c>
      <c r="F705" s="250">
        <f t="shared" si="6"/>
        <v>3150</v>
      </c>
      <c r="G705" s="20"/>
      <c r="H705" s="20"/>
      <c r="I705" s="20"/>
      <c r="P705" s="241"/>
      <c r="T705" s="1"/>
    </row>
    <row r="706" spans="1:20" ht="12.75" customHeight="1" x14ac:dyDescent="0.2">
      <c r="A706" s="26"/>
      <c r="B706" s="26"/>
      <c r="C706" s="35">
        <v>16</v>
      </c>
      <c r="D706" s="35">
        <v>400</v>
      </c>
      <c r="E706" s="38" t="s">
        <v>5542</v>
      </c>
      <c r="F706" s="250">
        <f t="shared" si="6"/>
        <v>4435</v>
      </c>
      <c r="G706" s="20"/>
      <c r="H706" s="20"/>
      <c r="I706" s="20"/>
      <c r="P706" s="241"/>
      <c r="T706" s="1"/>
    </row>
    <row r="707" spans="1:20" ht="12.75" customHeight="1" x14ac:dyDescent="0.2">
      <c r="A707" s="26"/>
      <c r="B707" s="26"/>
      <c r="C707" s="35">
        <v>18</v>
      </c>
      <c r="D707" s="35">
        <v>450</v>
      </c>
      <c r="E707" s="38" t="s">
        <v>5542</v>
      </c>
      <c r="F707" s="250">
        <f t="shared" si="6"/>
        <v>5560</v>
      </c>
      <c r="G707" s="20"/>
      <c r="H707" s="20"/>
      <c r="I707" s="20"/>
      <c r="P707" s="241"/>
      <c r="T707" s="1"/>
    </row>
    <row r="708" spans="1:20" ht="12.75" customHeight="1" x14ac:dyDescent="0.2">
      <c r="A708" s="26"/>
      <c r="B708" s="26"/>
      <c r="C708" s="35">
        <v>20</v>
      </c>
      <c r="D708" s="35">
        <v>500</v>
      </c>
      <c r="E708" s="38" t="s">
        <v>5542</v>
      </c>
      <c r="F708" s="250">
        <f t="shared" si="6"/>
        <v>6363</v>
      </c>
      <c r="G708" s="20"/>
      <c r="H708" s="20"/>
      <c r="I708" s="20"/>
      <c r="P708" s="241"/>
      <c r="T708" s="1"/>
    </row>
    <row r="709" spans="1:20" ht="12.75" customHeight="1" x14ac:dyDescent="0.2">
      <c r="A709" s="26"/>
      <c r="B709" s="27"/>
      <c r="C709" s="35">
        <v>24</v>
      </c>
      <c r="D709" s="35">
        <v>550</v>
      </c>
      <c r="E709" s="38" t="s">
        <v>5542</v>
      </c>
      <c r="F709" s="250">
        <f t="shared" si="6"/>
        <v>6855</v>
      </c>
      <c r="G709" s="20"/>
      <c r="H709" s="20"/>
      <c r="I709" s="20"/>
      <c r="P709" s="241"/>
      <c r="T709" s="1"/>
    </row>
    <row r="710" spans="1:20" ht="12.75" customHeight="1" x14ac:dyDescent="0.2">
      <c r="A710" s="26"/>
      <c r="B710" s="60" t="s">
        <v>145</v>
      </c>
      <c r="C710" s="61" t="s">
        <v>217</v>
      </c>
      <c r="D710" s="35">
        <v>20</v>
      </c>
      <c r="E710" s="38" t="s">
        <v>5542</v>
      </c>
      <c r="F710" s="250">
        <f t="shared" ref="F710:F711" si="7">F692</f>
        <v>83.25</v>
      </c>
      <c r="G710" s="20"/>
      <c r="H710" s="20"/>
      <c r="I710" s="20"/>
      <c r="P710" s="241"/>
      <c r="T710" s="1"/>
    </row>
    <row r="711" spans="1:20" ht="12.75" customHeight="1" x14ac:dyDescent="0.2">
      <c r="A711" s="26"/>
      <c r="B711" s="26"/>
      <c r="C711" s="35">
        <v>1</v>
      </c>
      <c r="D711" s="35">
        <v>25</v>
      </c>
      <c r="E711" s="38" t="s">
        <v>5542</v>
      </c>
      <c r="F711" s="250">
        <f t="shared" si="7"/>
        <v>83.25</v>
      </c>
      <c r="G711" s="20"/>
      <c r="H711" s="20"/>
      <c r="I711" s="20"/>
      <c r="P711" s="241"/>
      <c r="T711" s="1"/>
    </row>
    <row r="712" spans="1:20" ht="12.75" customHeight="1" x14ac:dyDescent="0.2">
      <c r="A712" s="26"/>
      <c r="B712" s="26"/>
      <c r="C712" s="35" t="s">
        <v>223</v>
      </c>
      <c r="D712" s="35">
        <v>32</v>
      </c>
      <c r="E712" s="35" t="s">
        <v>344</v>
      </c>
      <c r="F712" s="34">
        <f>IFERROR(_xlfn.XLOOKUP(E712,Index!$A:$A,Index!$B:$B),"")</f>
        <v>92</v>
      </c>
      <c r="G712" s="20"/>
      <c r="H712" s="20"/>
      <c r="I712" s="20"/>
      <c r="P712" s="241"/>
      <c r="T712" s="1"/>
    </row>
    <row r="713" spans="1:20" ht="12.75" customHeight="1" x14ac:dyDescent="0.2">
      <c r="A713" s="26"/>
      <c r="B713" s="26"/>
      <c r="C713" s="35" t="s">
        <v>225</v>
      </c>
      <c r="D713" s="35">
        <v>40</v>
      </c>
      <c r="E713" s="35" t="s">
        <v>344</v>
      </c>
      <c r="F713" s="34">
        <f>IFERROR(_xlfn.XLOOKUP(E713,Index!$A:$A,Index!$B:$B),"")</f>
        <v>92</v>
      </c>
      <c r="G713" s="20"/>
      <c r="H713" s="20"/>
      <c r="I713" s="20"/>
      <c r="P713" s="241"/>
      <c r="T713" s="1"/>
    </row>
    <row r="714" spans="1:20" ht="12.75" customHeight="1" x14ac:dyDescent="0.2">
      <c r="A714" s="26"/>
      <c r="B714" s="26"/>
      <c r="C714" s="35">
        <v>2</v>
      </c>
      <c r="D714" s="35">
        <v>50</v>
      </c>
      <c r="E714" s="35" t="s">
        <v>2841</v>
      </c>
      <c r="F714" s="34">
        <f>IFERROR(_xlfn.XLOOKUP(E714,Index!$A:$A,Index!$B:$B),"")</f>
        <v>92</v>
      </c>
      <c r="G714" s="20"/>
      <c r="H714" s="20"/>
      <c r="I714" s="20"/>
      <c r="P714" s="241"/>
      <c r="T714" s="1"/>
    </row>
    <row r="715" spans="1:20" ht="12.75" customHeight="1" x14ac:dyDescent="0.2">
      <c r="A715" s="26"/>
      <c r="B715" s="26"/>
      <c r="C715" s="35" t="s">
        <v>231</v>
      </c>
      <c r="D715" s="35">
        <v>65</v>
      </c>
      <c r="E715" s="35" t="s">
        <v>2842</v>
      </c>
      <c r="F715" s="34">
        <f>IFERROR(_xlfn.XLOOKUP(E715,Index!$A:$A,Index!$B:$B),"")</f>
        <v>108.5</v>
      </c>
      <c r="G715" s="20"/>
      <c r="H715" s="20"/>
      <c r="I715" s="20"/>
      <c r="P715" s="241"/>
      <c r="T715" s="1"/>
    </row>
    <row r="716" spans="1:20" ht="12.75" customHeight="1" x14ac:dyDescent="0.2">
      <c r="A716" s="26"/>
      <c r="B716" s="26"/>
      <c r="C716" s="35">
        <v>3</v>
      </c>
      <c r="D716" s="35">
        <v>80</v>
      </c>
      <c r="E716" s="35" t="s">
        <v>459</v>
      </c>
      <c r="F716" s="34">
        <f>IFERROR(_xlfn.XLOOKUP(E716,Index!$A:$A,Index!$B:$B),"")</f>
        <v>125</v>
      </c>
      <c r="G716" s="20"/>
      <c r="H716" s="20"/>
      <c r="I716" s="20"/>
      <c r="P716" s="241"/>
      <c r="T716" s="1"/>
    </row>
    <row r="717" spans="1:20" ht="12.75" customHeight="1" x14ac:dyDescent="0.2">
      <c r="A717" s="26"/>
      <c r="B717" s="26"/>
      <c r="C717" s="35">
        <v>4</v>
      </c>
      <c r="D717" s="35">
        <v>100</v>
      </c>
      <c r="E717" s="35" t="s">
        <v>2843</v>
      </c>
      <c r="F717" s="34">
        <f>IFERROR(_xlfn.XLOOKUP(E717,Index!$A:$A,Index!$B:$B),"")</f>
        <v>204</v>
      </c>
      <c r="G717" s="20"/>
      <c r="H717" s="20"/>
      <c r="I717" s="20"/>
      <c r="P717" s="241"/>
      <c r="T717" s="1"/>
    </row>
    <row r="718" spans="1:20" ht="12.75" customHeight="1" x14ac:dyDescent="0.2">
      <c r="A718" s="26"/>
      <c r="B718" s="26"/>
      <c r="C718" s="35">
        <v>5</v>
      </c>
      <c r="D718" s="35">
        <v>125</v>
      </c>
      <c r="E718" s="35" t="s">
        <v>2844</v>
      </c>
      <c r="F718" s="34">
        <f>IFERROR(_xlfn.XLOOKUP(E718,Index!$A:$A,Index!$B:$B),"")</f>
        <v>316</v>
      </c>
      <c r="G718" s="20"/>
      <c r="H718" s="20"/>
      <c r="I718" s="20"/>
      <c r="P718" s="241"/>
      <c r="T718" s="1"/>
    </row>
    <row r="719" spans="1:20" ht="12.75" customHeight="1" x14ac:dyDescent="0.2">
      <c r="A719" s="26"/>
      <c r="B719" s="26"/>
      <c r="C719" s="35">
        <v>6</v>
      </c>
      <c r="D719" s="35">
        <v>150</v>
      </c>
      <c r="E719" s="35" t="s">
        <v>460</v>
      </c>
      <c r="F719" s="34">
        <f>IFERROR(_xlfn.XLOOKUP(E719,Index!$A:$A,Index!$B:$B),"")</f>
        <v>394.5</v>
      </c>
      <c r="G719" s="20"/>
      <c r="H719" s="20"/>
      <c r="I719" s="20"/>
      <c r="P719" s="241"/>
      <c r="T719" s="1"/>
    </row>
    <row r="720" spans="1:20" ht="12.75" customHeight="1" x14ac:dyDescent="0.2">
      <c r="A720" s="26"/>
      <c r="B720" s="26"/>
      <c r="C720" s="35">
        <v>8</v>
      </c>
      <c r="D720" s="35">
        <v>200</v>
      </c>
      <c r="E720" s="38" t="s">
        <v>5542</v>
      </c>
      <c r="F720" s="250">
        <f t="shared" ref="F720:F727" si="8">F702</f>
        <v>1246</v>
      </c>
      <c r="G720" s="20"/>
      <c r="H720" s="20"/>
      <c r="I720" s="20"/>
      <c r="P720" s="241"/>
      <c r="T720" s="1"/>
    </row>
    <row r="721" spans="1:20" ht="12.75" customHeight="1" x14ac:dyDescent="0.2">
      <c r="A721" s="26"/>
      <c r="B721" s="26"/>
      <c r="C721" s="35">
        <v>10</v>
      </c>
      <c r="D721" s="35">
        <v>250</v>
      </c>
      <c r="E721" s="38" t="s">
        <v>5542</v>
      </c>
      <c r="F721" s="250">
        <f t="shared" si="8"/>
        <v>2084</v>
      </c>
      <c r="G721" s="20"/>
      <c r="H721" s="20"/>
      <c r="I721" s="20"/>
      <c r="P721" s="241"/>
      <c r="T721" s="1"/>
    </row>
    <row r="722" spans="1:20" ht="12.75" customHeight="1" x14ac:dyDescent="0.2">
      <c r="A722" s="26"/>
      <c r="B722" s="26"/>
      <c r="C722" s="35">
        <v>12</v>
      </c>
      <c r="D722" s="35">
        <v>300</v>
      </c>
      <c r="E722" s="38" t="s">
        <v>5542</v>
      </c>
      <c r="F722" s="250">
        <f t="shared" si="8"/>
        <v>1943</v>
      </c>
      <c r="G722" s="20"/>
      <c r="H722" s="20"/>
      <c r="I722" s="20"/>
      <c r="P722" s="241"/>
      <c r="T722" s="1"/>
    </row>
    <row r="723" spans="1:20" ht="12.75" customHeight="1" x14ac:dyDescent="0.2">
      <c r="A723" s="26"/>
      <c r="B723" s="26"/>
      <c r="C723" s="35">
        <v>14</v>
      </c>
      <c r="D723" s="35">
        <v>350</v>
      </c>
      <c r="E723" s="38" t="s">
        <v>5542</v>
      </c>
      <c r="F723" s="250">
        <f t="shared" si="8"/>
        <v>3150</v>
      </c>
      <c r="G723" s="20"/>
      <c r="H723" s="20"/>
      <c r="I723" s="20"/>
      <c r="P723" s="241"/>
      <c r="T723" s="1"/>
    </row>
    <row r="724" spans="1:20" ht="12.75" customHeight="1" x14ac:dyDescent="0.2">
      <c r="A724" s="26"/>
      <c r="B724" s="26"/>
      <c r="C724" s="35">
        <v>16</v>
      </c>
      <c r="D724" s="35">
        <v>400</v>
      </c>
      <c r="E724" s="38" t="s">
        <v>5542</v>
      </c>
      <c r="F724" s="250">
        <f t="shared" si="8"/>
        <v>4435</v>
      </c>
      <c r="G724" s="20"/>
      <c r="H724" s="20"/>
      <c r="I724" s="20"/>
      <c r="P724" s="241"/>
      <c r="T724" s="1"/>
    </row>
    <row r="725" spans="1:20" ht="12.75" customHeight="1" x14ac:dyDescent="0.2">
      <c r="A725" s="26"/>
      <c r="B725" s="26"/>
      <c r="C725" s="35">
        <v>18</v>
      </c>
      <c r="D725" s="35">
        <v>450</v>
      </c>
      <c r="E725" s="38" t="s">
        <v>5542</v>
      </c>
      <c r="F725" s="250">
        <f t="shared" si="8"/>
        <v>5560</v>
      </c>
      <c r="G725" s="20"/>
      <c r="H725" s="20"/>
      <c r="I725" s="20"/>
      <c r="P725" s="241"/>
      <c r="T725" s="1"/>
    </row>
    <row r="726" spans="1:20" ht="12.75" customHeight="1" x14ac:dyDescent="0.2">
      <c r="A726" s="26"/>
      <c r="B726" s="26"/>
      <c r="C726" s="35">
        <v>20</v>
      </c>
      <c r="D726" s="35">
        <v>500</v>
      </c>
      <c r="E726" s="38" t="s">
        <v>5542</v>
      </c>
      <c r="F726" s="250">
        <f t="shared" si="8"/>
        <v>6363</v>
      </c>
      <c r="G726" s="20"/>
      <c r="H726" s="20"/>
      <c r="I726" s="20"/>
      <c r="P726" s="241"/>
      <c r="T726" s="1"/>
    </row>
    <row r="727" spans="1:20" ht="12.75" customHeight="1" x14ac:dyDescent="0.2">
      <c r="A727" s="26"/>
      <c r="B727" s="27"/>
      <c r="C727" s="35">
        <v>24</v>
      </c>
      <c r="D727" s="35">
        <v>550</v>
      </c>
      <c r="E727" s="38" t="s">
        <v>5542</v>
      </c>
      <c r="F727" s="250">
        <f t="shared" si="8"/>
        <v>6855</v>
      </c>
      <c r="G727" s="20"/>
      <c r="H727" s="20"/>
      <c r="I727" s="20"/>
      <c r="P727" s="241"/>
      <c r="T727" s="1"/>
    </row>
    <row r="728" spans="1:20" ht="12.75" customHeight="1" x14ac:dyDescent="0.2">
      <c r="A728" s="26"/>
      <c r="B728" s="60" t="s">
        <v>155</v>
      </c>
      <c r="C728" s="61" t="s">
        <v>217</v>
      </c>
      <c r="D728" s="35">
        <v>20</v>
      </c>
      <c r="E728" s="38" t="s">
        <v>5542</v>
      </c>
      <c r="F728" s="250">
        <f t="shared" ref="F728:F729" si="9">F710</f>
        <v>83.25</v>
      </c>
      <c r="G728" s="20"/>
      <c r="H728" s="20"/>
      <c r="I728" s="20"/>
      <c r="P728" s="241"/>
      <c r="T728" s="1"/>
    </row>
    <row r="729" spans="1:20" ht="12.75" customHeight="1" x14ac:dyDescent="0.2">
      <c r="A729" s="26"/>
      <c r="B729" s="26"/>
      <c r="C729" s="35">
        <v>1</v>
      </c>
      <c r="D729" s="35">
        <v>25</v>
      </c>
      <c r="E729" s="38" t="s">
        <v>5542</v>
      </c>
      <c r="F729" s="250">
        <f t="shared" si="9"/>
        <v>83.25</v>
      </c>
      <c r="G729" s="20"/>
      <c r="H729" s="20"/>
      <c r="I729" s="20"/>
      <c r="P729" s="241"/>
      <c r="T729" s="1"/>
    </row>
    <row r="730" spans="1:20" ht="12.75" customHeight="1" x14ac:dyDescent="0.2">
      <c r="A730" s="26"/>
      <c r="B730" s="26"/>
      <c r="C730" s="35" t="s">
        <v>223</v>
      </c>
      <c r="D730" s="35">
        <v>32</v>
      </c>
      <c r="E730" s="35" t="s">
        <v>354</v>
      </c>
      <c r="F730" s="34">
        <f>IFERROR(_xlfn.XLOOKUP(E730,Index!$A:$A,Index!$B:$B),"")</f>
        <v>83.25</v>
      </c>
      <c r="G730" s="20"/>
      <c r="H730" s="20"/>
      <c r="I730" s="20"/>
      <c r="P730" s="241"/>
      <c r="T730" s="1"/>
    </row>
    <row r="731" spans="1:20" ht="12.75" customHeight="1" x14ac:dyDescent="0.2">
      <c r="A731" s="26"/>
      <c r="B731" s="26"/>
      <c r="C731" s="35" t="s">
        <v>225</v>
      </c>
      <c r="D731" s="35">
        <v>40</v>
      </c>
      <c r="E731" s="35" t="s">
        <v>354</v>
      </c>
      <c r="F731" s="34">
        <f>IFERROR(_xlfn.XLOOKUP(E731,Index!$A:$A,Index!$B:$B),"")</f>
        <v>83.25</v>
      </c>
      <c r="G731" s="20"/>
      <c r="H731" s="20"/>
      <c r="I731" s="20"/>
      <c r="P731" s="241"/>
      <c r="T731" s="1"/>
    </row>
    <row r="732" spans="1:20" ht="12.75" customHeight="1" x14ac:dyDescent="0.2">
      <c r="A732" s="26"/>
      <c r="B732" s="26"/>
      <c r="C732" s="35">
        <v>2</v>
      </c>
      <c r="D732" s="35">
        <v>50</v>
      </c>
      <c r="E732" s="35" t="s">
        <v>461</v>
      </c>
      <c r="F732" s="34">
        <f>IFERROR(_xlfn.XLOOKUP(E732,Index!$A:$A,Index!$B:$B),"")</f>
        <v>442.5</v>
      </c>
      <c r="G732" s="20"/>
      <c r="H732" s="20"/>
      <c r="I732" s="20"/>
      <c r="P732" s="241"/>
      <c r="T732" s="1"/>
    </row>
    <row r="733" spans="1:20" ht="12.75" customHeight="1" x14ac:dyDescent="0.2">
      <c r="A733" s="26"/>
      <c r="B733" s="26"/>
      <c r="C733" s="35" t="s">
        <v>231</v>
      </c>
      <c r="D733" s="35">
        <v>65</v>
      </c>
      <c r="E733" s="35" t="s">
        <v>462</v>
      </c>
      <c r="F733" s="34">
        <f>IFERROR(_xlfn.XLOOKUP(E733,Index!$A:$A,Index!$B:$B),"")</f>
        <v>108.5</v>
      </c>
      <c r="G733" s="20"/>
      <c r="H733" s="20"/>
      <c r="I733" s="20"/>
      <c r="P733" s="241"/>
      <c r="T733" s="1"/>
    </row>
    <row r="734" spans="1:20" ht="12.75" customHeight="1" x14ac:dyDescent="0.2">
      <c r="A734" s="26"/>
      <c r="B734" s="26"/>
      <c r="C734" s="35">
        <v>3</v>
      </c>
      <c r="D734" s="35">
        <v>80</v>
      </c>
      <c r="E734" s="35" t="s">
        <v>463</v>
      </c>
      <c r="F734" s="34">
        <f>IFERROR(_xlfn.XLOOKUP(E734,Index!$A:$A,Index!$B:$B),"")</f>
        <v>125</v>
      </c>
      <c r="G734" s="20"/>
      <c r="H734" s="20"/>
      <c r="I734" s="20"/>
      <c r="P734" s="241"/>
      <c r="T734" s="1"/>
    </row>
    <row r="735" spans="1:20" ht="12.75" customHeight="1" x14ac:dyDescent="0.2">
      <c r="A735" s="26"/>
      <c r="B735" s="26"/>
      <c r="C735" s="35">
        <v>4</v>
      </c>
      <c r="D735" s="35">
        <v>100</v>
      </c>
      <c r="E735" s="35" t="s">
        <v>2845</v>
      </c>
      <c r="F735" s="34">
        <f>IFERROR(_xlfn.XLOOKUP(E735,Index!$A:$A,Index!$B:$B),"")</f>
        <v>204</v>
      </c>
      <c r="G735" s="20"/>
      <c r="H735" s="20"/>
      <c r="I735" s="20"/>
      <c r="P735" s="241"/>
      <c r="T735" s="1"/>
    </row>
    <row r="736" spans="1:20" ht="12.75" customHeight="1" x14ac:dyDescent="0.2">
      <c r="A736" s="26"/>
      <c r="B736" s="26"/>
      <c r="C736" s="35">
        <v>5</v>
      </c>
      <c r="D736" s="35">
        <v>125</v>
      </c>
      <c r="E736" s="35" t="s">
        <v>464</v>
      </c>
      <c r="F736" s="34">
        <f>IFERROR(_xlfn.XLOOKUP(E736,Index!$A:$A,Index!$B:$B),"")</f>
        <v>316</v>
      </c>
      <c r="G736" s="20"/>
      <c r="H736" s="20"/>
      <c r="I736" s="20"/>
      <c r="P736" s="241"/>
      <c r="T736" s="1"/>
    </row>
    <row r="737" spans="1:20" ht="12.75" customHeight="1" x14ac:dyDescent="0.2">
      <c r="A737" s="26"/>
      <c r="B737" s="26"/>
      <c r="C737" s="35">
        <v>6</v>
      </c>
      <c r="D737" s="35">
        <v>150</v>
      </c>
      <c r="E737" s="35" t="s">
        <v>465</v>
      </c>
      <c r="F737" s="34">
        <f>IFERROR(_xlfn.XLOOKUP(E737,Index!$A:$A,Index!$B:$B),"")</f>
        <v>394.5</v>
      </c>
      <c r="G737" s="20"/>
      <c r="H737" s="20"/>
      <c r="I737" s="20"/>
      <c r="P737" s="241"/>
      <c r="T737" s="1"/>
    </row>
    <row r="738" spans="1:20" ht="12.75" customHeight="1" x14ac:dyDescent="0.2">
      <c r="A738" s="26"/>
      <c r="B738" s="26"/>
      <c r="C738" s="35">
        <v>8</v>
      </c>
      <c r="D738" s="35">
        <v>200</v>
      </c>
      <c r="E738" s="35" t="s">
        <v>2846</v>
      </c>
      <c r="F738" s="34">
        <f>IFERROR(_xlfn.XLOOKUP(E738,Index!$A:$A,Index!$B:$B),"")</f>
        <v>1246</v>
      </c>
      <c r="G738" s="20"/>
      <c r="H738" s="20"/>
      <c r="I738" s="20"/>
      <c r="P738" s="241"/>
      <c r="T738" s="1"/>
    </row>
    <row r="739" spans="1:20" ht="12.75" customHeight="1" x14ac:dyDescent="0.2">
      <c r="A739" s="26"/>
      <c r="B739" s="26"/>
      <c r="C739" s="35">
        <v>10</v>
      </c>
      <c r="D739" s="35">
        <v>250</v>
      </c>
      <c r="E739" s="38" t="s">
        <v>5542</v>
      </c>
      <c r="F739" s="250">
        <f t="shared" ref="F739:F745" si="10">F721</f>
        <v>2084</v>
      </c>
      <c r="G739" s="20"/>
      <c r="H739" s="20"/>
      <c r="I739" s="20"/>
      <c r="P739" s="241"/>
      <c r="T739" s="1"/>
    </row>
    <row r="740" spans="1:20" ht="12.75" customHeight="1" x14ac:dyDescent="0.2">
      <c r="A740" s="26"/>
      <c r="B740" s="26"/>
      <c r="C740" s="35">
        <v>12</v>
      </c>
      <c r="D740" s="35">
        <v>300</v>
      </c>
      <c r="E740" s="38" t="s">
        <v>5542</v>
      </c>
      <c r="F740" s="250">
        <f t="shared" si="10"/>
        <v>1943</v>
      </c>
      <c r="G740" s="20"/>
      <c r="H740" s="20"/>
      <c r="I740" s="20"/>
      <c r="P740" s="241"/>
      <c r="T740" s="1"/>
    </row>
    <row r="741" spans="1:20" ht="12.75" customHeight="1" x14ac:dyDescent="0.2">
      <c r="A741" s="26"/>
      <c r="B741" s="26"/>
      <c r="C741" s="35">
        <v>14</v>
      </c>
      <c r="D741" s="35">
        <v>350</v>
      </c>
      <c r="E741" s="38" t="s">
        <v>5542</v>
      </c>
      <c r="F741" s="250">
        <f t="shared" si="10"/>
        <v>3150</v>
      </c>
      <c r="G741" s="20"/>
      <c r="H741" s="20"/>
      <c r="I741" s="20"/>
      <c r="P741" s="241"/>
      <c r="T741" s="1"/>
    </row>
    <row r="742" spans="1:20" ht="12.75" customHeight="1" x14ac:dyDescent="0.2">
      <c r="A742" s="26"/>
      <c r="B742" s="26"/>
      <c r="C742" s="35">
        <v>16</v>
      </c>
      <c r="D742" s="35">
        <v>400</v>
      </c>
      <c r="E742" s="38" t="s">
        <v>5542</v>
      </c>
      <c r="F742" s="250">
        <f t="shared" si="10"/>
        <v>4435</v>
      </c>
      <c r="G742" s="20"/>
      <c r="H742" s="20"/>
      <c r="I742" s="20"/>
      <c r="P742" s="241"/>
      <c r="T742" s="1"/>
    </row>
    <row r="743" spans="1:20" ht="12.75" customHeight="1" x14ac:dyDescent="0.2">
      <c r="A743" s="26"/>
      <c r="B743" s="26"/>
      <c r="C743" s="35">
        <v>18</v>
      </c>
      <c r="D743" s="35">
        <v>450</v>
      </c>
      <c r="E743" s="38" t="s">
        <v>5542</v>
      </c>
      <c r="F743" s="250">
        <f t="shared" si="10"/>
        <v>5560</v>
      </c>
      <c r="G743" s="20"/>
      <c r="H743" s="20"/>
      <c r="I743" s="20"/>
      <c r="P743" s="241"/>
      <c r="T743" s="1"/>
    </row>
    <row r="744" spans="1:20" ht="12.75" customHeight="1" x14ac:dyDescent="0.2">
      <c r="A744" s="26"/>
      <c r="B744" s="26"/>
      <c r="C744" s="35">
        <v>20</v>
      </c>
      <c r="D744" s="35">
        <v>500</v>
      </c>
      <c r="E744" s="38" t="s">
        <v>5542</v>
      </c>
      <c r="F744" s="250">
        <f t="shared" si="10"/>
        <v>6363</v>
      </c>
      <c r="G744" s="20"/>
      <c r="H744" s="20"/>
      <c r="I744" s="20"/>
      <c r="P744" s="241"/>
      <c r="T744" s="1"/>
    </row>
    <row r="745" spans="1:20" ht="12.75" customHeight="1" x14ac:dyDescent="0.2">
      <c r="A745" s="26"/>
      <c r="B745" s="27"/>
      <c r="C745" s="35">
        <v>24</v>
      </c>
      <c r="D745" s="35">
        <v>550</v>
      </c>
      <c r="E745" s="38" t="s">
        <v>5542</v>
      </c>
      <c r="F745" s="250">
        <f t="shared" si="10"/>
        <v>6855</v>
      </c>
      <c r="G745" s="20"/>
      <c r="H745" s="20"/>
      <c r="I745" s="20"/>
      <c r="P745" s="241"/>
      <c r="T745" s="1"/>
    </row>
    <row r="746" spans="1:20" ht="12.75" customHeight="1" x14ac:dyDescent="0.2">
      <c r="A746" s="26"/>
      <c r="B746" s="60" t="s">
        <v>167</v>
      </c>
      <c r="C746" s="35" t="s">
        <v>225</v>
      </c>
      <c r="D746" s="35">
        <v>40</v>
      </c>
      <c r="E746" s="35" t="s">
        <v>364</v>
      </c>
      <c r="F746" s="34">
        <f>IFERROR(_xlfn.XLOOKUP(E746,Index!$A:$A,Index!$B:$B),"")</f>
        <v>7</v>
      </c>
      <c r="G746" s="20"/>
      <c r="H746" s="20"/>
      <c r="I746" s="20"/>
      <c r="P746" s="241"/>
      <c r="T746" s="1"/>
    </row>
    <row r="747" spans="1:20" ht="12.75" customHeight="1" x14ac:dyDescent="0.2">
      <c r="A747" s="26"/>
      <c r="B747" s="26"/>
      <c r="C747" s="35">
        <v>2</v>
      </c>
      <c r="D747" s="35">
        <v>50</v>
      </c>
      <c r="E747" s="35" t="s">
        <v>364</v>
      </c>
      <c r="F747" s="34">
        <f>IFERROR(_xlfn.XLOOKUP(E747,Index!$A:$A,Index!$B:$B),"")</f>
        <v>7</v>
      </c>
      <c r="G747" s="20"/>
      <c r="H747" s="20"/>
      <c r="I747" s="20"/>
      <c r="P747" s="241"/>
      <c r="T747" s="1"/>
    </row>
    <row r="748" spans="1:20" ht="12.75" customHeight="1" x14ac:dyDescent="0.2">
      <c r="A748" s="26"/>
      <c r="B748" s="26"/>
      <c r="C748" s="35" t="s">
        <v>231</v>
      </c>
      <c r="D748" s="35">
        <v>65</v>
      </c>
      <c r="E748" s="35" t="s">
        <v>365</v>
      </c>
      <c r="F748" s="34">
        <f>IFERROR(_xlfn.XLOOKUP(E748,Index!$A:$A,Index!$B:$B),"")</f>
        <v>9.75</v>
      </c>
      <c r="G748" s="20"/>
      <c r="H748" s="20"/>
      <c r="I748" s="20"/>
      <c r="P748" s="241"/>
      <c r="T748" s="1"/>
    </row>
    <row r="749" spans="1:20" ht="12.75" customHeight="1" x14ac:dyDescent="0.2">
      <c r="A749" s="26"/>
      <c r="B749" s="26"/>
      <c r="C749" s="35">
        <v>3</v>
      </c>
      <c r="D749" s="35">
        <v>80</v>
      </c>
      <c r="E749" s="35" t="s">
        <v>466</v>
      </c>
      <c r="F749" s="34">
        <f>IFERROR(_xlfn.XLOOKUP(E749,Index!$A:$A,Index!$B:$B),"")</f>
        <v>7</v>
      </c>
      <c r="G749" s="20"/>
      <c r="H749" s="20"/>
      <c r="I749" s="20"/>
      <c r="P749" s="241"/>
      <c r="T749" s="1"/>
    </row>
    <row r="750" spans="1:20" ht="12.75" customHeight="1" x14ac:dyDescent="0.2">
      <c r="A750" s="26"/>
      <c r="B750" s="26"/>
      <c r="C750" s="35">
        <v>4</v>
      </c>
      <c r="D750" s="35">
        <v>100</v>
      </c>
      <c r="E750" s="35" t="s">
        <v>366</v>
      </c>
      <c r="F750" s="34">
        <f>IFERROR(_xlfn.XLOOKUP(E750,Index!$A:$A,Index!$B:$B),"")</f>
        <v>33.25</v>
      </c>
      <c r="G750" s="20"/>
      <c r="H750" s="20"/>
      <c r="I750" s="20"/>
      <c r="P750" s="241"/>
      <c r="T750" s="1"/>
    </row>
    <row r="751" spans="1:20" ht="12.75" customHeight="1" x14ac:dyDescent="0.2">
      <c r="A751" s="26"/>
      <c r="B751" s="26"/>
      <c r="C751" s="35">
        <v>5</v>
      </c>
      <c r="D751" s="35">
        <v>125</v>
      </c>
      <c r="E751" s="35" t="s">
        <v>367</v>
      </c>
      <c r="F751" s="34">
        <f>IFERROR(_xlfn.XLOOKUP(E751,Index!$A:$A,Index!$B:$B),"")</f>
        <v>50</v>
      </c>
      <c r="G751" s="20"/>
      <c r="H751" s="20"/>
      <c r="I751" s="20"/>
      <c r="P751" s="241"/>
      <c r="T751" s="1"/>
    </row>
    <row r="752" spans="1:20" ht="12.75" customHeight="1" x14ac:dyDescent="0.2">
      <c r="A752" s="26"/>
      <c r="B752" s="26"/>
      <c r="C752" s="35">
        <v>6</v>
      </c>
      <c r="D752" s="35">
        <v>150</v>
      </c>
      <c r="E752" s="35" t="s">
        <v>367</v>
      </c>
      <c r="F752" s="34">
        <f>IFERROR(_xlfn.XLOOKUP(E752,Index!$A:$A,Index!$B:$B),"")</f>
        <v>50</v>
      </c>
      <c r="G752" s="20"/>
      <c r="H752" s="20"/>
      <c r="I752" s="20"/>
      <c r="P752" s="241"/>
      <c r="T752" s="1"/>
    </row>
    <row r="753" spans="1:20" ht="12.75" customHeight="1" x14ac:dyDescent="0.2">
      <c r="A753" s="26"/>
      <c r="B753" s="26"/>
      <c r="C753" s="35">
        <v>8</v>
      </c>
      <c r="D753" s="35">
        <v>200</v>
      </c>
      <c r="E753" s="35" t="s">
        <v>367</v>
      </c>
      <c r="F753" s="34">
        <f>IFERROR(_xlfn.XLOOKUP(E753,Index!$A:$A,Index!$B:$B),"")</f>
        <v>50</v>
      </c>
      <c r="G753" s="20"/>
      <c r="H753" s="20"/>
      <c r="I753" s="20"/>
      <c r="P753" s="241"/>
      <c r="T753" s="1"/>
    </row>
    <row r="754" spans="1:20" ht="12.75" customHeight="1" x14ac:dyDescent="0.2">
      <c r="A754" s="26"/>
      <c r="B754" s="26"/>
      <c r="C754" s="35">
        <v>10</v>
      </c>
      <c r="D754" s="35">
        <v>250</v>
      </c>
      <c r="E754" s="35" t="s">
        <v>367</v>
      </c>
      <c r="F754" s="34">
        <f>IFERROR(_xlfn.XLOOKUP(E754,Index!$A:$A,Index!$B:$B),"")</f>
        <v>50</v>
      </c>
      <c r="G754" s="20"/>
      <c r="H754" s="20"/>
      <c r="I754" s="20"/>
      <c r="P754" s="241"/>
      <c r="T754" s="1"/>
    </row>
    <row r="755" spans="1:20" ht="12.75" customHeight="1" x14ac:dyDescent="0.2">
      <c r="A755" s="26"/>
      <c r="B755" s="26"/>
      <c r="C755" s="35">
        <v>12</v>
      </c>
      <c r="D755" s="35">
        <v>300</v>
      </c>
      <c r="E755" s="35" t="s">
        <v>367</v>
      </c>
      <c r="F755" s="34">
        <f>IFERROR(_xlfn.XLOOKUP(E755,Index!$A:$A,Index!$B:$B),"")</f>
        <v>50</v>
      </c>
      <c r="G755" s="20"/>
      <c r="H755" s="20"/>
      <c r="I755" s="20"/>
      <c r="P755" s="241"/>
      <c r="T755" s="1"/>
    </row>
    <row r="756" spans="1:20" ht="12.75" customHeight="1" x14ac:dyDescent="0.2">
      <c r="A756" s="26"/>
      <c r="B756" s="26"/>
      <c r="C756" s="35">
        <v>14</v>
      </c>
      <c r="D756" s="35">
        <v>350</v>
      </c>
      <c r="E756" s="35" t="s">
        <v>367</v>
      </c>
      <c r="F756" s="34">
        <f>IFERROR(_xlfn.XLOOKUP(E756,Index!$A:$A,Index!$B:$B),"")</f>
        <v>50</v>
      </c>
      <c r="G756" s="20"/>
      <c r="H756" s="20"/>
      <c r="I756" s="20"/>
      <c r="P756" s="241"/>
      <c r="T756" s="1"/>
    </row>
    <row r="757" spans="1:20" ht="12.75" customHeight="1" x14ac:dyDescent="0.2">
      <c r="A757" s="26"/>
      <c r="B757" s="26"/>
      <c r="C757" s="35">
        <v>16</v>
      </c>
      <c r="D757" s="35">
        <v>400</v>
      </c>
      <c r="E757" s="35" t="s">
        <v>367</v>
      </c>
      <c r="F757" s="34">
        <f>IFERROR(_xlfn.XLOOKUP(E757,Index!$A:$A,Index!$B:$B),"")</f>
        <v>50</v>
      </c>
      <c r="G757" s="20"/>
      <c r="H757" s="20"/>
      <c r="I757" s="20"/>
      <c r="P757" s="241"/>
      <c r="T757" s="1"/>
    </row>
    <row r="758" spans="1:20" ht="12.75" customHeight="1" x14ac:dyDescent="0.2">
      <c r="A758" s="26"/>
      <c r="B758" s="26"/>
      <c r="C758" s="35">
        <v>18</v>
      </c>
      <c r="D758" s="35">
        <v>450</v>
      </c>
      <c r="E758" s="35" t="s">
        <v>367</v>
      </c>
      <c r="F758" s="34">
        <f>IFERROR(_xlfn.XLOOKUP(E758,Index!$A:$A,Index!$B:$B),"")</f>
        <v>50</v>
      </c>
      <c r="G758" s="20"/>
      <c r="H758" s="20"/>
      <c r="I758" s="20"/>
      <c r="P758" s="241"/>
      <c r="T758" s="1"/>
    </row>
    <row r="759" spans="1:20" ht="12.75" customHeight="1" x14ac:dyDescent="0.2">
      <c r="A759" s="26"/>
      <c r="B759" s="26"/>
      <c r="C759" s="35">
        <v>20</v>
      </c>
      <c r="D759" s="35">
        <v>500</v>
      </c>
      <c r="E759" s="35" t="s">
        <v>367</v>
      </c>
      <c r="F759" s="34">
        <f>IFERROR(_xlfn.XLOOKUP(E759,Index!$A:$A,Index!$B:$B),"")</f>
        <v>50</v>
      </c>
      <c r="G759" s="20"/>
      <c r="H759" s="20"/>
      <c r="I759" s="20"/>
      <c r="P759" s="241"/>
      <c r="T759" s="1"/>
    </row>
    <row r="760" spans="1:20" ht="12.75" customHeight="1" x14ac:dyDescent="0.2">
      <c r="A760" s="27"/>
      <c r="B760" s="27"/>
      <c r="C760" s="35">
        <v>24</v>
      </c>
      <c r="D760" s="35">
        <v>550</v>
      </c>
      <c r="E760" s="35" t="s">
        <v>367</v>
      </c>
      <c r="F760" s="34">
        <f>IFERROR(_xlfn.XLOOKUP(E760,Index!$A:$A,Index!$B:$B),"")</f>
        <v>50</v>
      </c>
      <c r="G760" s="20"/>
      <c r="H760" s="20"/>
      <c r="I760" s="20"/>
      <c r="P760" s="241"/>
      <c r="T760" s="1"/>
    </row>
    <row r="761" spans="1:20" ht="12.75" customHeight="1" x14ac:dyDescent="0.2">
      <c r="L761" s="20"/>
      <c r="M761" s="20"/>
      <c r="N761" s="20"/>
      <c r="O761" s="20"/>
    </row>
    <row r="762" spans="1:20" ht="12.75" customHeight="1" x14ac:dyDescent="0.2">
      <c r="A762" s="62" t="s">
        <v>467</v>
      </c>
      <c r="B762" s="62" t="s">
        <v>468</v>
      </c>
      <c r="D762" s="49"/>
      <c r="E762" s="50"/>
      <c r="F762" s="101"/>
      <c r="G762" s="108"/>
      <c r="H762" s="53"/>
      <c r="I762" s="53"/>
      <c r="J762" s="54"/>
      <c r="L762" s="20"/>
      <c r="M762" s="20"/>
      <c r="N762" s="20"/>
      <c r="O762" s="20"/>
    </row>
    <row r="763" spans="1:20" ht="17.100000000000001" customHeight="1" x14ac:dyDescent="0.2">
      <c r="A763" s="48" t="s">
        <v>469</v>
      </c>
      <c r="B763" s="57"/>
      <c r="C763" s="58"/>
      <c r="D763" s="58"/>
      <c r="E763" s="59"/>
      <c r="F763" s="101"/>
      <c r="G763" s="58"/>
      <c r="H763" s="53"/>
      <c r="I763" s="53"/>
      <c r="J763" s="54"/>
      <c r="L763" s="20"/>
      <c r="M763" s="20"/>
      <c r="N763" s="20"/>
      <c r="O763" s="20"/>
    </row>
    <row r="764" spans="1:20" ht="12.75" customHeight="1" x14ac:dyDescent="0.2">
      <c r="A764" s="25" t="s">
        <v>35</v>
      </c>
      <c r="B764" s="28" t="s">
        <v>36</v>
      </c>
      <c r="C764" s="333" t="s">
        <v>37</v>
      </c>
      <c r="D764" s="334"/>
      <c r="E764" s="335" t="s">
        <v>38</v>
      </c>
      <c r="F764" s="336"/>
      <c r="G764" s="335" t="s">
        <v>39</v>
      </c>
      <c r="H764" s="336"/>
      <c r="I764" s="42" t="s">
        <v>40</v>
      </c>
      <c r="J764" s="43" t="s">
        <v>41</v>
      </c>
      <c r="L764" s="20"/>
      <c r="M764" s="20"/>
      <c r="N764" s="20"/>
      <c r="O764" s="20"/>
    </row>
    <row r="765" spans="1:20" ht="12.75" customHeight="1" x14ac:dyDescent="0.2">
      <c r="A765" s="32"/>
      <c r="B765" s="32"/>
      <c r="C765" s="33" t="s">
        <v>42</v>
      </c>
      <c r="D765" s="33" t="s">
        <v>43</v>
      </c>
      <c r="E765" s="33" t="s">
        <v>44</v>
      </c>
      <c r="F765" s="33" t="s">
        <v>45</v>
      </c>
      <c r="G765" s="33" t="s">
        <v>46</v>
      </c>
      <c r="H765" s="33" t="s">
        <v>47</v>
      </c>
      <c r="I765" s="33"/>
      <c r="J765" s="44"/>
      <c r="L765" s="20"/>
      <c r="M765" s="20"/>
      <c r="N765" s="20"/>
      <c r="O765" s="20"/>
    </row>
    <row r="766" spans="1:20" ht="12.75" customHeight="1" x14ac:dyDescent="0.2">
      <c r="A766" s="26" t="s">
        <v>470</v>
      </c>
      <c r="B766" s="26" t="s">
        <v>471</v>
      </c>
      <c r="C766" s="30" t="s">
        <v>50</v>
      </c>
      <c r="D766" s="35" t="s">
        <v>176</v>
      </c>
      <c r="E766" s="64">
        <v>2</v>
      </c>
      <c r="F766" s="116">
        <v>15</v>
      </c>
      <c r="G766" s="35">
        <v>12</v>
      </c>
      <c r="H766" s="40">
        <v>5.4</v>
      </c>
      <c r="I766" s="38" t="s">
        <v>472</v>
      </c>
      <c r="J766" s="34">
        <f>IFERROR(_xlfn.XLOOKUP(I766,Index!$A:$A,Index!$B:$B),"")</f>
        <v>366</v>
      </c>
      <c r="L766" s="20"/>
      <c r="M766" s="20"/>
      <c r="N766" s="20"/>
      <c r="O766" s="20"/>
    </row>
    <row r="767" spans="1:20" s="55" customFormat="1" ht="12.75" customHeight="1" x14ac:dyDescent="0.2">
      <c r="A767" s="26"/>
      <c r="B767" s="26"/>
      <c r="C767" s="30"/>
      <c r="D767" s="35" t="s">
        <v>176</v>
      </c>
      <c r="E767" s="64">
        <v>2.5</v>
      </c>
      <c r="F767" s="116">
        <v>20</v>
      </c>
      <c r="G767" s="35">
        <v>18</v>
      </c>
      <c r="H767" s="40">
        <v>8.1999999999999993</v>
      </c>
      <c r="I767" s="38" t="s">
        <v>473</v>
      </c>
      <c r="J767" s="34">
        <f>IFERROR(_xlfn.XLOOKUP(I767,Index!$A:$A,Index!$B:$B),"")</f>
        <v>446.5</v>
      </c>
      <c r="K767" s="20"/>
      <c r="L767" s="20"/>
      <c r="M767" s="20"/>
      <c r="N767" s="20"/>
      <c r="O767" s="20"/>
      <c r="T767" s="242"/>
    </row>
    <row r="768" spans="1:20" s="55" customFormat="1" ht="12.75" customHeight="1" x14ac:dyDescent="0.2">
      <c r="A768" s="26"/>
      <c r="B768" s="26"/>
      <c r="C768" s="30"/>
      <c r="D768" s="35" t="s">
        <v>176</v>
      </c>
      <c r="E768" s="64">
        <v>3</v>
      </c>
      <c r="F768" s="116">
        <v>25</v>
      </c>
      <c r="G768" s="35">
        <v>23</v>
      </c>
      <c r="H768" s="40">
        <v>10.4</v>
      </c>
      <c r="I768" s="38" t="s">
        <v>474</v>
      </c>
      <c r="J768" s="34">
        <f>IFERROR(_xlfn.XLOOKUP(I768,Index!$A:$A,Index!$B:$B),"")</f>
        <v>662.5</v>
      </c>
      <c r="K768" s="20"/>
      <c r="L768" s="20"/>
      <c r="M768" s="20"/>
      <c r="N768" s="20"/>
      <c r="O768" s="20"/>
      <c r="T768" s="242"/>
    </row>
    <row r="769" spans="1:15" ht="12.75" customHeight="1" x14ac:dyDescent="0.2">
      <c r="A769" s="26"/>
      <c r="B769" s="26"/>
      <c r="C769" s="30"/>
      <c r="D769" s="35" t="s">
        <v>176</v>
      </c>
      <c r="E769" s="64">
        <v>4</v>
      </c>
      <c r="F769" s="116">
        <v>32</v>
      </c>
      <c r="G769" s="35">
        <v>42</v>
      </c>
      <c r="H769" s="40">
        <v>19</v>
      </c>
      <c r="I769" s="38" t="s">
        <v>475</v>
      </c>
      <c r="J769" s="34">
        <f>IFERROR(_xlfn.XLOOKUP(I769,Index!$A:$A,Index!$B:$B),"")</f>
        <v>996.5</v>
      </c>
      <c r="L769" s="20"/>
      <c r="M769" s="20"/>
      <c r="N769" s="20"/>
      <c r="O769" s="20"/>
    </row>
    <row r="770" spans="1:15" ht="12.75" customHeight="1" x14ac:dyDescent="0.2">
      <c r="A770" s="26"/>
      <c r="B770" s="26"/>
      <c r="C770" s="30"/>
      <c r="D770" s="35" t="s">
        <v>241</v>
      </c>
      <c r="E770" s="64">
        <v>5</v>
      </c>
      <c r="F770" s="116">
        <v>40</v>
      </c>
      <c r="G770" s="35">
        <v>80</v>
      </c>
      <c r="H770" s="40">
        <v>36</v>
      </c>
      <c r="I770" s="38" t="s">
        <v>476</v>
      </c>
      <c r="J770" s="34">
        <f>IFERROR(_xlfn.XLOOKUP(I770,Index!$A:$A,Index!$B:$B),"")</f>
        <v>1500</v>
      </c>
      <c r="L770" s="20"/>
      <c r="M770" s="20"/>
      <c r="N770" s="20"/>
      <c r="O770" s="20"/>
    </row>
    <row r="771" spans="1:15" ht="12.75" customHeight="1" x14ac:dyDescent="0.2">
      <c r="A771" s="26"/>
      <c r="B771" s="26"/>
      <c r="C771" s="30"/>
      <c r="D771" s="35" t="s">
        <v>241</v>
      </c>
      <c r="E771" s="64">
        <v>6</v>
      </c>
      <c r="F771" s="116">
        <v>50</v>
      </c>
      <c r="G771" s="35">
        <v>112</v>
      </c>
      <c r="H771" s="40">
        <v>51</v>
      </c>
      <c r="I771" s="38" t="s">
        <v>477</v>
      </c>
      <c r="J771" s="34">
        <f>IFERROR(_xlfn.XLOOKUP(I771,Index!$A:$A,Index!$B:$B),"")</f>
        <v>2052</v>
      </c>
      <c r="L771" s="20"/>
      <c r="M771" s="20"/>
      <c r="N771" s="20"/>
      <c r="O771" s="20"/>
    </row>
    <row r="772" spans="1:15" ht="12.75" customHeight="1" x14ac:dyDescent="0.2">
      <c r="A772" s="26"/>
      <c r="B772" s="26"/>
      <c r="C772" s="30"/>
      <c r="D772" s="89" t="s">
        <v>241</v>
      </c>
      <c r="E772" s="64">
        <v>8</v>
      </c>
      <c r="F772" s="116">
        <v>65</v>
      </c>
      <c r="G772" s="35">
        <v>205</v>
      </c>
      <c r="H772" s="40">
        <v>93</v>
      </c>
      <c r="I772" s="38" t="s">
        <v>478</v>
      </c>
      <c r="J772" s="34">
        <f>IFERROR(_xlfn.XLOOKUP(I772,Index!$A:$A,Index!$B:$B),"")</f>
        <v>3652</v>
      </c>
      <c r="L772" s="20"/>
      <c r="M772" s="20"/>
      <c r="N772" s="20"/>
      <c r="O772" s="20"/>
    </row>
    <row r="773" spans="1:15" ht="12.75" customHeight="1" x14ac:dyDescent="0.2">
      <c r="A773" s="12"/>
      <c r="B773" s="26"/>
      <c r="C773" s="4"/>
      <c r="D773" s="35" t="s">
        <v>241</v>
      </c>
      <c r="E773" s="125">
        <v>10</v>
      </c>
      <c r="F773" s="116">
        <v>80</v>
      </c>
      <c r="G773" s="35">
        <v>277</v>
      </c>
      <c r="H773" s="40">
        <v>126</v>
      </c>
      <c r="I773" s="38" t="s">
        <v>479</v>
      </c>
      <c r="J773" s="34">
        <f>IFERROR(_xlfn.XLOOKUP(I773,Index!$A:$A,Index!$B:$B),"")</f>
        <v>6077</v>
      </c>
      <c r="L773" s="20"/>
      <c r="M773" s="20"/>
      <c r="N773" s="20"/>
      <c r="O773" s="20"/>
    </row>
    <row r="774" spans="1:15" ht="12.75" customHeight="1" x14ac:dyDescent="0.2">
      <c r="A774" s="27"/>
      <c r="B774" s="27"/>
      <c r="C774" s="31"/>
      <c r="D774" s="31" t="s">
        <v>241</v>
      </c>
      <c r="E774" s="64">
        <v>12</v>
      </c>
      <c r="F774" s="116">
        <v>100</v>
      </c>
      <c r="G774" s="35">
        <v>470</v>
      </c>
      <c r="H774" s="40">
        <v>213</v>
      </c>
      <c r="I774" s="38" t="s">
        <v>480</v>
      </c>
      <c r="J774" s="34">
        <f>IFERROR(_xlfn.XLOOKUP(I774,Index!$A:$A,Index!$B:$B),"")</f>
        <v>8152</v>
      </c>
      <c r="L774" s="20"/>
      <c r="M774" s="20"/>
      <c r="N774" s="20"/>
      <c r="O774" s="20"/>
    </row>
    <row r="775" spans="1:15" ht="12.75" customHeight="1" x14ac:dyDescent="0.2">
      <c r="L775" s="20"/>
      <c r="M775" s="20"/>
      <c r="N775" s="20"/>
      <c r="O775" s="20"/>
    </row>
  </sheetData>
  <sheetProtection formatCells="0" formatColumns="0" formatRows="0" insertColumns="0" insertRows="0" insertHyperlinks="0" deleteColumns="0" deleteRows="0" pivotTables="0"/>
  <mergeCells count="22">
    <mergeCell ref="E323:F323"/>
    <mergeCell ref="C43:D43"/>
    <mergeCell ref="E43:F43"/>
    <mergeCell ref="G43:H43"/>
    <mergeCell ref="C60:D60"/>
    <mergeCell ref="C177:D177"/>
    <mergeCell ref="C764:D764"/>
    <mergeCell ref="E764:F764"/>
    <mergeCell ref="G764:H764"/>
    <mergeCell ref="C618:D618"/>
    <mergeCell ref="C323:D323"/>
    <mergeCell ref="C359:D359"/>
    <mergeCell ref="C569:D569"/>
    <mergeCell ref="E569:F569"/>
    <mergeCell ref="G569:H569"/>
    <mergeCell ref="C340:D340"/>
    <mergeCell ref="E340:F340"/>
    <mergeCell ref="G340:H340"/>
    <mergeCell ref="C588:D588"/>
    <mergeCell ref="E588:F588"/>
    <mergeCell ref="G588:H588"/>
    <mergeCell ref="G323:H323"/>
  </mergeCells>
  <phoneticPr fontId="2" type="noConversion"/>
  <conditionalFormatting sqref="F2:F42 F44:F59 D61 F139:F176 D178 F259:F322 F358 D360 F505:F568 F615:F617 D619">
    <cfRule type="expression" dxfId="1304" priority="21">
      <formula>D2="Not a valid item #"</formula>
    </cfRule>
    <cfRule type="expression" dxfId="1303" priority="22">
      <formula>D2="Not in NPSLS"</formula>
    </cfRule>
    <cfRule type="expression" dxfId="1302" priority="23">
      <formula>D2="Obsolete"</formula>
    </cfRule>
    <cfRule type="expression" dxfId="1301" priority="24">
      <formula>D2=""</formula>
    </cfRule>
    <cfRule type="expression" dxfId="1300" priority="25">
      <formula>D2="List Price"</formula>
    </cfRule>
  </conditionalFormatting>
  <conditionalFormatting sqref="F324:F339 F341:F356">
    <cfRule type="expression" dxfId="1299" priority="11">
      <formula>F324="Not a valid item #"</formula>
    </cfRule>
    <cfRule type="expression" dxfId="1298" priority="12">
      <formula>F324="Not in NPSLS"</formula>
    </cfRule>
    <cfRule type="expression" dxfId="1297" priority="13">
      <formula>F324="Obsolete"</formula>
    </cfRule>
    <cfRule type="expression" dxfId="1296" priority="14">
      <formula>F324=""</formula>
    </cfRule>
    <cfRule type="expression" dxfId="1295" priority="15">
      <formula>F324="List Price"</formula>
    </cfRule>
  </conditionalFormatting>
  <conditionalFormatting sqref="F570:F587 F589:F603">
    <cfRule type="expression" dxfId="1294" priority="6">
      <formula>F570="Not a valid item #"</formula>
    </cfRule>
    <cfRule type="expression" dxfId="1293" priority="7">
      <formula>F570="Not in NPSLS"</formula>
    </cfRule>
    <cfRule type="expression" dxfId="1292" priority="8">
      <formula>F570="Obsolete"</formula>
    </cfRule>
    <cfRule type="expression" dxfId="1291" priority="9">
      <formula>F570=""</formula>
    </cfRule>
    <cfRule type="expression" dxfId="1290" priority="10">
      <formula>F570="List Price"</formula>
    </cfRule>
  </conditionalFormatting>
  <conditionalFormatting sqref="F605:F606">
    <cfRule type="expression" dxfId="1289" priority="1">
      <formula>F605="Not a valid item #"</formula>
    </cfRule>
    <cfRule type="expression" dxfId="1288" priority="2">
      <formula>F605="Not in NPSLS"</formula>
    </cfRule>
    <cfRule type="expression" dxfId="1287" priority="3">
      <formula>F605="Obsolete"</formula>
    </cfRule>
    <cfRule type="expression" dxfId="1286" priority="4">
      <formula>F605=""</formula>
    </cfRule>
    <cfRule type="expression" dxfId="1285" priority="5">
      <formula>F605="List Price"</formula>
    </cfRule>
  </conditionalFormatting>
  <conditionalFormatting sqref="F762:F763 F765:F774">
    <cfRule type="expression" dxfId="1284" priority="16">
      <formula>F762="Not a valid item #"</formula>
    </cfRule>
    <cfRule type="expression" dxfId="1283" priority="17">
      <formula>F762="Not in NPSLS"</formula>
    </cfRule>
    <cfRule type="expression" dxfId="1282" priority="18">
      <formula>F762="Obsolete"</formula>
    </cfRule>
    <cfRule type="expression" dxfId="1281" priority="19">
      <formula>F762=""</formula>
    </cfRule>
    <cfRule type="expression" dxfId="1280" priority="20">
      <formula>F762="List Price"</formula>
    </cfRule>
  </conditionalFormatting>
  <hyperlinks>
    <hyperlink ref="A1" location="'Table of Contents'!A1" display="Return Home" xr:uid="{119F2C4B-7F86-40DB-A16A-288B9B031436}"/>
  </hyperlinks>
  <pageMargins left="0.7" right="0.7" top="0.75" bottom="0.75" header="0.3" footer="0.3"/>
  <pageSetup scale="10" orientation="landscape" r:id="rId1"/>
  <headerFooter>
    <oddFooter>&amp;L&amp;A&amp;C&amp;BSpirax sarco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2E4-65CD-4070-B093-B0487869035A}">
  <sheetPr codeName="Sheet5"/>
  <dimension ref="A1:N350"/>
  <sheetViews>
    <sheetView showGridLines="0" zoomScale="90" zoomScaleNormal="90" workbookViewId="0"/>
  </sheetViews>
  <sheetFormatPr defaultRowHeight="15" x14ac:dyDescent="0.25"/>
  <cols>
    <col min="1" max="1" width="19.140625" customWidth="1"/>
    <col min="2" max="2" width="22.28515625" customWidth="1"/>
    <col min="3" max="3" width="10.140625" customWidth="1"/>
    <col min="9" max="9" width="13.140625" customWidth="1"/>
    <col min="10" max="10" width="10.140625" bestFit="1" customWidth="1"/>
    <col min="11" max="11" width="9.140625" bestFit="1" customWidth="1"/>
    <col min="12" max="12" width="9.28515625" bestFit="1" customWidth="1"/>
  </cols>
  <sheetData>
    <row r="1" spans="1:14" x14ac:dyDescent="0.25">
      <c r="A1" s="255" t="s">
        <v>5540</v>
      </c>
      <c r="K1" s="1"/>
      <c r="L1" s="1"/>
      <c r="M1" s="1"/>
      <c r="N1" s="1"/>
    </row>
    <row r="2" spans="1:14" s="1" customFormat="1" ht="15.75" x14ac:dyDescent="0.2">
      <c r="A2" s="62" t="s">
        <v>481</v>
      </c>
      <c r="B2" s="62" t="s">
        <v>468</v>
      </c>
      <c r="C2" s="14"/>
      <c r="D2" s="3"/>
      <c r="E2" s="8"/>
      <c r="F2" s="9"/>
      <c r="G2" s="10"/>
      <c r="H2" s="19"/>
      <c r="I2" s="19"/>
      <c r="J2" s="20"/>
    </row>
    <row r="3" spans="1:14" s="1" customFormat="1" ht="15.75" x14ac:dyDescent="0.2">
      <c r="A3" s="48" t="s">
        <v>482</v>
      </c>
      <c r="B3" s="11"/>
      <c r="C3" s="4"/>
      <c r="D3" s="4"/>
      <c r="E3" s="5"/>
      <c r="F3" s="9"/>
      <c r="G3" s="4"/>
      <c r="H3" s="19"/>
      <c r="I3" s="19"/>
      <c r="J3" s="20"/>
    </row>
    <row r="4" spans="1:14" s="1" customFormat="1" ht="12.75" customHeight="1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4" s="1" customFormat="1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2.75" customHeight="1" x14ac:dyDescent="0.2">
      <c r="A6" s="26" t="s">
        <v>483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0.75</v>
      </c>
      <c r="H6" s="40">
        <v>0.3</v>
      </c>
      <c r="I6" s="38" t="s">
        <v>5901</v>
      </c>
      <c r="J6" s="34">
        <f>IFERROR(_xlfn.XLOOKUP(I6,Index!$A:$A,Index!$B:$B),"")</f>
        <v>87.75</v>
      </c>
    </row>
    <row r="7" spans="1:14" s="1" customFormat="1" ht="12" x14ac:dyDescent="0.2">
      <c r="A7" s="26"/>
      <c r="B7" s="26"/>
      <c r="C7" s="30"/>
      <c r="D7" s="35" t="s">
        <v>53</v>
      </c>
      <c r="E7" s="64">
        <v>0.25</v>
      </c>
      <c r="F7" s="37">
        <v>6</v>
      </c>
      <c r="G7" s="35">
        <v>0.75</v>
      </c>
      <c r="H7" s="40">
        <v>0.3</v>
      </c>
      <c r="I7" s="38" t="s">
        <v>485</v>
      </c>
      <c r="J7" s="34">
        <f>IFERROR(_xlfn.XLOOKUP(I7,Index!$A:$A,Index!$B:$B),"")</f>
        <v>91.75</v>
      </c>
    </row>
    <row r="8" spans="1:14" s="1" customFormat="1" ht="12" x14ac:dyDescent="0.2">
      <c r="A8" s="26"/>
      <c r="B8" s="26"/>
      <c r="C8" s="30"/>
      <c r="D8" s="35" t="s">
        <v>55</v>
      </c>
      <c r="E8" s="64">
        <v>0.25</v>
      </c>
      <c r="F8" s="37">
        <v>6</v>
      </c>
      <c r="G8" s="35">
        <v>0.75</v>
      </c>
      <c r="H8" s="40">
        <v>0.3</v>
      </c>
      <c r="I8" s="38" t="s">
        <v>486</v>
      </c>
      <c r="J8" s="34">
        <f>IFERROR(_xlfn.XLOOKUP(I8,Index!$A:$A,Index!$B:$B),"")</f>
        <v>91.75</v>
      </c>
    </row>
    <row r="9" spans="1:14" s="1" customFormat="1" ht="12.75" customHeight="1" x14ac:dyDescent="0.2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0.75</v>
      </c>
      <c r="H9" s="40">
        <v>0.3</v>
      </c>
      <c r="I9" s="38" t="s">
        <v>487</v>
      </c>
      <c r="J9" s="34">
        <f>IFERROR(_xlfn.XLOOKUP(I9,Index!$A:$A,Index!$B:$B),"")</f>
        <v>87.75</v>
      </c>
    </row>
    <row r="10" spans="1:14" s="1" customFormat="1" ht="12.75" customHeight="1" x14ac:dyDescent="0.2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0.75</v>
      </c>
      <c r="H10" s="40">
        <v>0.3</v>
      </c>
      <c r="I10" s="38" t="s">
        <v>488</v>
      </c>
      <c r="J10" s="34">
        <f>IFERROR(_xlfn.XLOOKUP(I10,Index!$A:$A,Index!$B:$B),"")</f>
        <v>91.75</v>
      </c>
    </row>
    <row r="11" spans="1:14" s="1" customFormat="1" ht="12.75" customHeight="1" x14ac:dyDescent="0.2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0.75</v>
      </c>
      <c r="H11" s="40">
        <v>0.3</v>
      </c>
      <c r="I11" s="38" t="s">
        <v>489</v>
      </c>
      <c r="J11" s="34">
        <f>IFERROR(_xlfn.XLOOKUP(I11,Index!$A:$A,Index!$B:$B),"")</f>
        <v>91.75</v>
      </c>
    </row>
    <row r="12" spans="1:14" s="1" customFormat="1" ht="12.75" customHeight="1" x14ac:dyDescent="0.2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0.75</v>
      </c>
      <c r="H12" s="40">
        <v>0.3</v>
      </c>
      <c r="I12" s="38" t="s">
        <v>5902</v>
      </c>
      <c r="J12" s="34">
        <f>IFERROR(_xlfn.XLOOKUP(I12,Index!$A:$A,Index!$B:$B),"")</f>
        <v>87.75</v>
      </c>
    </row>
    <row r="13" spans="1:14" s="1" customFormat="1" ht="12.75" customHeight="1" x14ac:dyDescent="0.2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0.75</v>
      </c>
      <c r="H13" s="40">
        <v>0.3</v>
      </c>
      <c r="I13" s="38" t="s">
        <v>491</v>
      </c>
      <c r="J13" s="34">
        <f>IFERROR(_xlfn.XLOOKUP(I13,Index!$A:$A,Index!$B:$B),"")</f>
        <v>91.75</v>
      </c>
    </row>
    <row r="14" spans="1:14" s="1" customFormat="1" ht="12.75" customHeight="1" x14ac:dyDescent="0.2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0.75</v>
      </c>
      <c r="H14" s="40">
        <v>0.3</v>
      </c>
      <c r="I14" s="38" t="s">
        <v>492</v>
      </c>
      <c r="J14" s="34">
        <f>IFERROR(_xlfn.XLOOKUP(I14,Index!$A:$A,Index!$B:$B),"")</f>
        <v>91.75</v>
      </c>
    </row>
    <row r="15" spans="1:14" s="1" customFormat="1" ht="12.75" customHeight="1" x14ac:dyDescent="0.2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1.38</v>
      </c>
      <c r="H15" s="40">
        <v>0.6</v>
      </c>
      <c r="I15" s="38" t="s">
        <v>5903</v>
      </c>
      <c r="J15" s="34">
        <f>IFERROR(_xlfn.XLOOKUP(I15,Index!$A:$A,Index!$B:$B),"")</f>
        <v>108</v>
      </c>
    </row>
    <row r="16" spans="1:14" s="1" customFormat="1" ht="12.75" customHeight="1" x14ac:dyDescent="0.2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1.38</v>
      </c>
      <c r="H16" s="40">
        <v>0.6</v>
      </c>
      <c r="I16" s="38" t="s">
        <v>494</v>
      </c>
      <c r="J16" s="34">
        <f>IFERROR(_xlfn.XLOOKUP(I16,Index!$A:$A,Index!$B:$B),"")</f>
        <v>113</v>
      </c>
    </row>
    <row r="17" spans="1:10" s="1" customFormat="1" ht="12.75" customHeight="1" x14ac:dyDescent="0.2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1.38</v>
      </c>
      <c r="H17" s="40">
        <v>0.6</v>
      </c>
      <c r="I17" s="38" t="s">
        <v>495</v>
      </c>
      <c r="J17" s="34">
        <f>IFERROR(_xlfn.XLOOKUP(I17,Index!$A:$A,Index!$B:$B),"")</f>
        <v>113</v>
      </c>
    </row>
    <row r="18" spans="1:10" s="1" customFormat="1" ht="12.75" customHeight="1" x14ac:dyDescent="0.2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2.13</v>
      </c>
      <c r="H18" s="40">
        <v>1</v>
      </c>
      <c r="I18" s="38" t="s">
        <v>5904</v>
      </c>
      <c r="J18" s="34">
        <f>IFERROR(_xlfn.XLOOKUP(I18,Index!$A:$A,Index!$B:$B),"")</f>
        <v>159</v>
      </c>
    </row>
    <row r="19" spans="1:10" s="1" customFormat="1" ht="12.75" customHeight="1" x14ac:dyDescent="0.2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2.13</v>
      </c>
      <c r="H19" s="40">
        <v>1</v>
      </c>
      <c r="I19" s="38" t="s">
        <v>497</v>
      </c>
      <c r="J19" s="34">
        <f>IFERROR(_xlfn.XLOOKUP(I19,Index!$A:$A,Index!$B:$B),"")</f>
        <v>167</v>
      </c>
    </row>
    <row r="20" spans="1:10" s="1" customFormat="1" ht="12.75" customHeight="1" x14ac:dyDescent="0.2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2.13</v>
      </c>
      <c r="H20" s="40">
        <v>1</v>
      </c>
      <c r="I20" s="38" t="s">
        <v>498</v>
      </c>
      <c r="J20" s="34">
        <f>IFERROR(_xlfn.XLOOKUP(I20,Index!$A:$A,Index!$B:$B),"")</f>
        <v>167</v>
      </c>
    </row>
    <row r="21" spans="1:10" s="1" customFormat="1" ht="12.75" customHeight="1" x14ac:dyDescent="0.2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3.13</v>
      </c>
      <c r="H21" s="40">
        <v>1.4</v>
      </c>
      <c r="I21" s="38" t="s">
        <v>499</v>
      </c>
      <c r="J21" s="34">
        <f>IFERROR(_xlfn.XLOOKUP(I21,Index!$A:$A,Index!$B:$B),"")</f>
        <v>252</v>
      </c>
    </row>
    <row r="22" spans="1:10" s="1" customFormat="1" ht="12.75" customHeight="1" x14ac:dyDescent="0.2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3.13</v>
      </c>
      <c r="H22" s="40">
        <v>1.4</v>
      </c>
      <c r="I22" s="38" t="s">
        <v>500</v>
      </c>
      <c r="J22" s="34">
        <f>IFERROR(_xlfn.XLOOKUP(I22,Index!$A:$A,Index!$B:$B),"")</f>
        <v>265</v>
      </c>
    </row>
    <row r="23" spans="1:10" s="1" customFormat="1" ht="12.75" customHeight="1" x14ac:dyDescent="0.2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3.13</v>
      </c>
      <c r="H23" s="40">
        <v>1.4</v>
      </c>
      <c r="I23" s="38" t="s">
        <v>501</v>
      </c>
      <c r="J23" s="34">
        <f>IFERROR(_xlfn.XLOOKUP(I23,Index!$A:$A,Index!$B:$B),"")</f>
        <v>265</v>
      </c>
    </row>
    <row r="24" spans="1:10" s="1" customFormat="1" ht="12.75" customHeight="1" x14ac:dyDescent="0.2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4.5</v>
      </c>
      <c r="H24" s="40">
        <v>2</v>
      </c>
      <c r="I24" s="38" t="s">
        <v>5905</v>
      </c>
      <c r="J24" s="34">
        <f>IFERROR(_xlfn.XLOOKUP(I24,Index!$A:$A,Index!$B:$B),"")</f>
        <v>339.5</v>
      </c>
    </row>
    <row r="25" spans="1:10" s="1" customFormat="1" ht="12.75" customHeight="1" x14ac:dyDescent="0.2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4.5</v>
      </c>
      <c r="H25" s="40">
        <v>2</v>
      </c>
      <c r="I25" s="38" t="s">
        <v>503</v>
      </c>
      <c r="J25" s="34">
        <f>IFERROR(_xlfn.XLOOKUP(I25,Index!$A:$A,Index!$B:$B),"")</f>
        <v>356</v>
      </c>
    </row>
    <row r="26" spans="1:10" s="1" customFormat="1" ht="12.75" customHeight="1" x14ac:dyDescent="0.2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4.5</v>
      </c>
      <c r="H26" s="40">
        <v>2</v>
      </c>
      <c r="I26" s="38" t="s">
        <v>504</v>
      </c>
      <c r="J26" s="34">
        <f>IFERROR(_xlfn.XLOOKUP(I26,Index!$A:$A,Index!$B:$B),"")</f>
        <v>356</v>
      </c>
    </row>
    <row r="27" spans="1:10" s="1" customFormat="1" ht="12.75" customHeight="1" x14ac:dyDescent="0.2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7</v>
      </c>
      <c r="H27" s="40">
        <v>3.2</v>
      </c>
      <c r="I27" s="38" t="s">
        <v>5906</v>
      </c>
      <c r="J27" s="34">
        <f>IFERROR(_xlfn.XLOOKUP(I27,Index!$A:$A,Index!$B:$B),"")</f>
        <v>444</v>
      </c>
    </row>
    <row r="28" spans="1:10" s="1" customFormat="1" ht="12.75" customHeight="1" x14ac:dyDescent="0.2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7</v>
      </c>
      <c r="H28" s="40">
        <v>3.2</v>
      </c>
      <c r="I28" s="38" t="s">
        <v>506</v>
      </c>
      <c r="J28" s="34">
        <f>IFERROR(_xlfn.XLOOKUP(I28,Index!$A:$A,Index!$B:$B),"")</f>
        <v>467</v>
      </c>
    </row>
    <row r="29" spans="1:10" s="1" customFormat="1" ht="12.75" customHeight="1" x14ac:dyDescent="0.2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7</v>
      </c>
      <c r="H29" s="40">
        <v>3.2</v>
      </c>
      <c r="I29" s="38" t="s">
        <v>507</v>
      </c>
      <c r="J29" s="34">
        <f>IFERROR(_xlfn.XLOOKUP(I29,Index!$A:$A,Index!$B:$B),"")</f>
        <v>467</v>
      </c>
    </row>
    <row r="30" spans="1:10" s="1" customFormat="1" ht="12.75" customHeight="1" x14ac:dyDescent="0.2">
      <c r="A30" s="26"/>
      <c r="B30" s="26"/>
      <c r="C30" s="30"/>
      <c r="D30" s="35" t="s">
        <v>508</v>
      </c>
      <c r="E30" s="64">
        <v>2.5</v>
      </c>
      <c r="F30" s="37">
        <v>65</v>
      </c>
      <c r="G30" s="35">
        <v>16</v>
      </c>
      <c r="H30" s="40">
        <v>7.3</v>
      </c>
      <c r="I30" s="38" t="s">
        <v>5907</v>
      </c>
      <c r="J30" s="34">
        <f>IFERROR(_xlfn.XLOOKUP(I30,Index!$A:$A,Index!$B:$B),"")</f>
        <v>1338</v>
      </c>
    </row>
    <row r="31" spans="1:10" s="1" customFormat="1" ht="12.75" customHeight="1" x14ac:dyDescent="0.2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16</v>
      </c>
      <c r="H31" s="40">
        <v>7.3</v>
      </c>
      <c r="I31" s="38" t="s">
        <v>510</v>
      </c>
      <c r="J31" s="34">
        <f>IFERROR(_xlfn.XLOOKUP(I31,Index!$A:$A,Index!$B:$B),"")</f>
        <v>1404</v>
      </c>
    </row>
    <row r="32" spans="1:10" s="1" customFormat="1" ht="12.75" customHeight="1" x14ac:dyDescent="0.2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16</v>
      </c>
      <c r="H32" s="40">
        <v>7.3</v>
      </c>
      <c r="I32" s="38" t="s">
        <v>511</v>
      </c>
      <c r="J32" s="34">
        <f>IFERROR(_xlfn.XLOOKUP(I32,Index!$A:$A,Index!$B:$B),"")</f>
        <v>1404</v>
      </c>
    </row>
    <row r="33" spans="1:14" s="1" customFormat="1" ht="12.75" customHeight="1" x14ac:dyDescent="0.2">
      <c r="A33" s="26"/>
      <c r="B33" s="26"/>
      <c r="C33" s="30"/>
      <c r="D33" s="35" t="s">
        <v>508</v>
      </c>
      <c r="E33" s="36">
        <v>3</v>
      </c>
      <c r="F33" s="37">
        <v>80</v>
      </c>
      <c r="G33" s="35">
        <v>34</v>
      </c>
      <c r="H33" s="40">
        <v>15.4</v>
      </c>
      <c r="I33" s="38" t="s">
        <v>5908</v>
      </c>
      <c r="J33" s="34">
        <f>IFERROR(_xlfn.XLOOKUP(I33,Index!$A:$A,Index!$B:$B),"")</f>
        <v>2702</v>
      </c>
    </row>
    <row r="34" spans="1:14" s="1" customFormat="1" ht="12.75" customHeight="1" x14ac:dyDescent="0.2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34</v>
      </c>
      <c r="H34" s="40">
        <v>15.4</v>
      </c>
      <c r="I34" s="38" t="s">
        <v>513</v>
      </c>
      <c r="J34" s="34">
        <f>IFERROR(_xlfn.XLOOKUP(I34,Index!$A:$A,Index!$B:$B),"")</f>
        <v>2839</v>
      </c>
    </row>
    <row r="35" spans="1:14" s="1" customFormat="1" ht="12.75" customHeight="1" x14ac:dyDescent="0.2">
      <c r="A35" s="27"/>
      <c r="B35" s="27"/>
      <c r="C35" s="31"/>
      <c r="D35" s="35" t="s">
        <v>55</v>
      </c>
      <c r="E35" s="36">
        <v>3</v>
      </c>
      <c r="F35" s="37">
        <v>80</v>
      </c>
      <c r="G35" s="35">
        <v>34</v>
      </c>
      <c r="H35" s="40">
        <v>15.4</v>
      </c>
      <c r="I35" s="38" t="s">
        <v>514</v>
      </c>
      <c r="J35" s="34">
        <f>IFERROR(_xlfn.XLOOKUP(I35,Index!$A:$A,Index!$B:$B),"")</f>
        <v>2839</v>
      </c>
    </row>
    <row r="36" spans="1:14" s="1" customFormat="1" ht="12.75" customHeight="1" x14ac:dyDescent="0.2">
      <c r="A36" s="12"/>
      <c r="B36" s="12"/>
      <c r="C36" s="4"/>
      <c r="D36" s="4"/>
      <c r="E36" s="5"/>
      <c r="F36" s="21"/>
      <c r="G36" s="4"/>
      <c r="H36" s="19"/>
      <c r="I36" s="19"/>
      <c r="J36" s="20"/>
    </row>
    <row r="37" spans="1:14" s="1" customFormat="1" ht="12.75" customHeight="1" x14ac:dyDescent="0.2">
      <c r="A37" s="12"/>
      <c r="B37" s="12"/>
      <c r="C37" s="4"/>
      <c r="D37" s="4"/>
      <c r="E37" s="5"/>
      <c r="F37" s="13"/>
      <c r="G37" s="4"/>
      <c r="H37" s="19"/>
      <c r="I37" s="19"/>
      <c r="J37" s="20"/>
    </row>
    <row r="38" spans="1:14" s="1" customFormat="1" x14ac:dyDescent="0.2">
      <c r="A38" s="57" t="s">
        <v>515</v>
      </c>
      <c r="B38" s="256" t="s">
        <v>468</v>
      </c>
      <c r="C38" s="14"/>
      <c r="D38" s="49"/>
      <c r="E38" s="50"/>
      <c r="F38" s="51"/>
      <c r="G38" s="52"/>
      <c r="H38" s="53"/>
      <c r="I38" s="53"/>
      <c r="J38" s="54"/>
    </row>
    <row r="39" spans="1:14" s="1" customFormat="1" ht="15.75" x14ac:dyDescent="0.2">
      <c r="A39" s="48" t="s">
        <v>516</v>
      </c>
      <c r="B39" s="57"/>
      <c r="C39" s="58"/>
      <c r="D39" s="58"/>
      <c r="E39" s="59"/>
      <c r="F39" s="51"/>
      <c r="G39" s="58"/>
      <c r="H39" s="53"/>
      <c r="I39" s="53"/>
      <c r="J39" s="54"/>
    </row>
    <row r="40" spans="1:14" s="1" customFormat="1" ht="12.75" customHeight="1" x14ac:dyDescent="0.2">
      <c r="A40" s="25" t="s">
        <v>35</v>
      </c>
      <c r="B40" s="28" t="s">
        <v>36</v>
      </c>
      <c r="C40" s="333" t="s">
        <v>37</v>
      </c>
      <c r="D40" s="334"/>
      <c r="E40" s="335" t="s">
        <v>38</v>
      </c>
      <c r="F40" s="336"/>
      <c r="G40" s="335" t="s">
        <v>39</v>
      </c>
      <c r="H40" s="336"/>
      <c r="I40" s="42" t="s">
        <v>40</v>
      </c>
      <c r="J40" s="43" t="s">
        <v>41</v>
      </c>
    </row>
    <row r="41" spans="1:14" s="1" customFormat="1" ht="12.75" customHeight="1" x14ac:dyDescent="0.2">
      <c r="A41" s="32"/>
      <c r="B41" s="32"/>
      <c r="C41" s="33" t="s">
        <v>42</v>
      </c>
      <c r="D41" s="33" t="s">
        <v>43</v>
      </c>
      <c r="E41" s="33" t="s">
        <v>44</v>
      </c>
      <c r="F41" s="33" t="s">
        <v>45</v>
      </c>
      <c r="G41" s="33" t="s">
        <v>46</v>
      </c>
      <c r="H41" s="33" t="s">
        <v>47</v>
      </c>
      <c r="I41" s="33"/>
      <c r="J41" s="44"/>
    </row>
    <row r="42" spans="1:14" s="1" customFormat="1" ht="12.75" customHeight="1" x14ac:dyDescent="0.2">
      <c r="A42" s="26" t="s">
        <v>517</v>
      </c>
      <c r="B42" s="26" t="s">
        <v>49</v>
      </c>
      <c r="C42" s="30" t="s">
        <v>50</v>
      </c>
      <c r="D42" s="35" t="s">
        <v>51</v>
      </c>
      <c r="E42" s="64">
        <v>0.25</v>
      </c>
      <c r="F42" s="45">
        <v>6</v>
      </c>
      <c r="G42" s="35">
        <v>0.75</v>
      </c>
      <c r="H42" s="40">
        <v>0.3</v>
      </c>
      <c r="I42" s="38" t="s">
        <v>518</v>
      </c>
      <c r="J42" s="34">
        <f>IFERROR(_xlfn.XLOOKUP(I42,Index!$A:$A,Index!$B:$B),"")</f>
        <v>60</v>
      </c>
    </row>
    <row r="43" spans="1:14" s="55" customFormat="1" ht="14.25" x14ac:dyDescent="0.2">
      <c r="A43" s="26"/>
      <c r="B43" s="26"/>
      <c r="C43" s="30"/>
      <c r="D43" s="35" t="s">
        <v>51</v>
      </c>
      <c r="E43" s="64">
        <v>0.375</v>
      </c>
      <c r="F43" s="45">
        <v>10</v>
      </c>
      <c r="G43" s="35">
        <v>0.75</v>
      </c>
      <c r="H43" s="40">
        <v>0.3</v>
      </c>
      <c r="I43" s="38" t="s">
        <v>519</v>
      </c>
      <c r="J43" s="34">
        <f>IFERROR(_xlfn.XLOOKUP(I43,Index!$A:$A,Index!$B:$B),"")</f>
        <v>60</v>
      </c>
      <c r="K43" s="1"/>
      <c r="L43" s="1"/>
      <c r="M43" s="1"/>
      <c r="N43" s="1"/>
    </row>
    <row r="44" spans="1:14" s="55" customFormat="1" ht="14.25" x14ac:dyDescent="0.2">
      <c r="A44" s="26"/>
      <c r="B44" s="26"/>
      <c r="C44" s="30"/>
      <c r="D44" s="35" t="s">
        <v>51</v>
      </c>
      <c r="E44" s="64">
        <v>0.5</v>
      </c>
      <c r="F44" s="45">
        <v>15</v>
      </c>
      <c r="G44" s="35">
        <v>0.75</v>
      </c>
      <c r="H44" s="40">
        <v>0.3</v>
      </c>
      <c r="I44" s="38" t="s">
        <v>520</v>
      </c>
      <c r="J44" s="34">
        <f>IFERROR(_xlfn.XLOOKUP(I44,Index!$A:$A,Index!$B:$B),"")</f>
        <v>60</v>
      </c>
      <c r="K44" s="1"/>
      <c r="L44" s="1"/>
      <c r="M44" s="1"/>
      <c r="N44" s="1"/>
    </row>
    <row r="45" spans="1:14" s="1" customFormat="1" ht="12.75" customHeight="1" x14ac:dyDescent="0.2">
      <c r="A45" s="26"/>
      <c r="B45" s="26"/>
      <c r="C45" s="30"/>
      <c r="D45" s="35" t="s">
        <v>51</v>
      </c>
      <c r="E45" s="64">
        <v>0.75</v>
      </c>
      <c r="F45" s="45">
        <v>20</v>
      </c>
      <c r="G45" s="35">
        <v>1.38</v>
      </c>
      <c r="H45" s="40">
        <v>0.6</v>
      </c>
      <c r="I45" s="38" t="s">
        <v>521</v>
      </c>
      <c r="J45" s="34">
        <f>IFERROR(_xlfn.XLOOKUP(I45,Index!$A:$A,Index!$B:$B),"")</f>
        <v>73</v>
      </c>
    </row>
    <row r="46" spans="1:14" s="1" customFormat="1" ht="12.75" customHeight="1" x14ac:dyDescent="0.2">
      <c r="A46" s="26"/>
      <c r="B46" s="26"/>
      <c r="C46" s="30"/>
      <c r="D46" s="35" t="s">
        <v>51</v>
      </c>
      <c r="E46" s="64">
        <v>1</v>
      </c>
      <c r="F46" s="45">
        <v>25</v>
      </c>
      <c r="G46" s="35">
        <v>2.13</v>
      </c>
      <c r="H46" s="40">
        <v>1</v>
      </c>
      <c r="I46" s="38" t="s">
        <v>522</v>
      </c>
      <c r="J46" s="34">
        <f>IFERROR(_xlfn.XLOOKUP(I46,Index!$A:$A,Index!$B:$B),"")</f>
        <v>108.5</v>
      </c>
    </row>
    <row r="47" spans="1:14" s="1" customFormat="1" ht="12.75" customHeight="1" x14ac:dyDescent="0.2">
      <c r="A47" s="26"/>
      <c r="B47" s="26"/>
      <c r="C47" s="30"/>
      <c r="D47" s="35" t="s">
        <v>51</v>
      </c>
      <c r="E47" s="64">
        <v>1.25</v>
      </c>
      <c r="F47" s="45">
        <v>32</v>
      </c>
      <c r="G47" s="35">
        <v>3.13</v>
      </c>
      <c r="H47" s="40">
        <v>1.4</v>
      </c>
      <c r="I47" s="38" t="s">
        <v>523</v>
      </c>
      <c r="J47" s="34">
        <f>IFERROR(_xlfn.XLOOKUP(I47,Index!$A:$A,Index!$B:$B),"")</f>
        <v>171.5</v>
      </c>
    </row>
    <row r="48" spans="1:14" s="1" customFormat="1" ht="12.75" customHeight="1" x14ac:dyDescent="0.2">
      <c r="A48" s="26"/>
      <c r="B48" s="26"/>
      <c r="C48" s="30"/>
      <c r="D48" s="35" t="s">
        <v>51</v>
      </c>
      <c r="E48" s="64">
        <v>1.5</v>
      </c>
      <c r="F48" s="45">
        <v>40</v>
      </c>
      <c r="G48" s="35">
        <v>4.5</v>
      </c>
      <c r="H48" s="40">
        <v>2</v>
      </c>
      <c r="I48" s="38" t="s">
        <v>524</v>
      </c>
      <c r="J48" s="34">
        <f>IFERROR(_xlfn.XLOOKUP(I48,Index!$A:$A,Index!$B:$B),"")</f>
        <v>232</v>
      </c>
    </row>
    <row r="49" spans="1:11" s="1" customFormat="1" ht="12.75" customHeight="1" x14ac:dyDescent="0.2">
      <c r="A49" s="26"/>
      <c r="B49" s="26"/>
      <c r="C49" s="30"/>
      <c r="D49" s="35" t="s">
        <v>51</v>
      </c>
      <c r="E49" s="64">
        <v>2</v>
      </c>
      <c r="F49" s="45">
        <v>50</v>
      </c>
      <c r="G49" s="35">
        <v>7</v>
      </c>
      <c r="H49" s="40">
        <v>3.2</v>
      </c>
      <c r="I49" s="38" t="s">
        <v>525</v>
      </c>
      <c r="J49" s="34">
        <f>IFERROR(_xlfn.XLOOKUP(I49,Index!$A:$A,Index!$B:$B),"")</f>
        <v>302.5</v>
      </c>
    </row>
    <row r="50" spans="1:11" s="1" customFormat="1" ht="12.75" customHeight="1" x14ac:dyDescent="0.2">
      <c r="A50" s="26"/>
      <c r="B50" s="26"/>
      <c r="C50" s="30"/>
      <c r="D50" s="35" t="s">
        <v>508</v>
      </c>
      <c r="E50" s="64">
        <v>2.5</v>
      </c>
      <c r="F50" s="45">
        <v>65</v>
      </c>
      <c r="G50" s="35">
        <v>16</v>
      </c>
      <c r="H50" s="40">
        <v>7.3</v>
      </c>
      <c r="I50" s="38" t="s">
        <v>526</v>
      </c>
      <c r="J50" s="34">
        <f>IFERROR(_xlfn.XLOOKUP(I50,Index!$A:$A,Index!$B:$B),"")</f>
        <v>909</v>
      </c>
      <c r="K50" s="141"/>
    </row>
    <row r="51" spans="1:11" s="1" customFormat="1" ht="12.75" customHeight="1" x14ac:dyDescent="0.2">
      <c r="A51" s="27"/>
      <c r="B51" s="27"/>
      <c r="C51" s="31"/>
      <c r="D51" s="35" t="s">
        <v>508</v>
      </c>
      <c r="E51" s="64">
        <v>3</v>
      </c>
      <c r="F51" s="45">
        <v>80</v>
      </c>
      <c r="G51" s="35">
        <v>34</v>
      </c>
      <c r="H51" s="40">
        <v>15.4</v>
      </c>
      <c r="I51" s="38" t="s">
        <v>527</v>
      </c>
      <c r="J51" s="34">
        <f>IFERROR(_xlfn.XLOOKUP(I51,Index!$A:$A,Index!$B:$B),"")</f>
        <v>954</v>
      </c>
      <c r="K51" s="141"/>
    </row>
    <row r="52" spans="1:11" s="1" customFormat="1" ht="12.75" customHeight="1" x14ac:dyDescent="0.2">
      <c r="A52" s="12"/>
      <c r="B52" s="12"/>
      <c r="C52" s="4"/>
      <c r="D52" s="4"/>
      <c r="E52" s="5"/>
      <c r="F52" s="13"/>
      <c r="G52" s="4"/>
      <c r="H52" s="19"/>
      <c r="I52" s="19"/>
      <c r="J52" s="20"/>
      <c r="K52" s="141"/>
    </row>
    <row r="53" spans="1:11" s="1" customFormat="1" ht="12.75" customHeight="1" x14ac:dyDescent="0.2">
      <c r="A53" s="12"/>
      <c r="B53" s="12"/>
      <c r="C53" s="4"/>
      <c r="D53" s="4"/>
      <c r="E53" s="5"/>
      <c r="F53" s="13"/>
      <c r="G53" s="4"/>
      <c r="H53" s="19"/>
      <c r="I53" s="19"/>
      <c r="J53" s="20"/>
    </row>
    <row r="54" spans="1:11" s="264" customFormat="1" ht="15.75" x14ac:dyDescent="0.2">
      <c r="A54" s="217" t="s">
        <v>7</v>
      </c>
      <c r="B54" s="47"/>
      <c r="C54" s="47"/>
      <c r="D54" s="258"/>
      <c r="E54" s="259"/>
      <c r="F54" s="260"/>
      <c r="G54" s="261"/>
      <c r="H54" s="262"/>
      <c r="I54" s="262"/>
      <c r="J54" s="263"/>
    </row>
    <row r="55" spans="1:11" s="264" customFormat="1" ht="15.75" x14ac:dyDescent="0.2">
      <c r="A55" s="48" t="s">
        <v>102</v>
      </c>
      <c r="B55" s="217"/>
      <c r="C55" s="265"/>
      <c r="D55" s="265"/>
      <c r="E55" s="266"/>
      <c r="F55" s="260"/>
      <c r="G55" s="265"/>
      <c r="H55" s="262"/>
      <c r="I55" s="262"/>
      <c r="J55" s="263"/>
    </row>
    <row r="56" spans="1:11" s="1" customFormat="1" ht="12.75" customHeight="1" x14ac:dyDescent="0.2">
      <c r="A56" s="25" t="s">
        <v>35</v>
      </c>
      <c r="B56" s="28" t="s">
        <v>103</v>
      </c>
      <c r="C56" s="335" t="s">
        <v>38</v>
      </c>
      <c r="D56" s="336"/>
      <c r="E56" s="42" t="s">
        <v>40</v>
      </c>
      <c r="F56" s="43" t="s">
        <v>41</v>
      </c>
    </row>
    <row r="57" spans="1:11" s="1" customFormat="1" ht="12.75" customHeight="1" x14ac:dyDescent="0.2">
      <c r="A57" s="32"/>
      <c r="B57" s="32"/>
      <c r="C57" s="33" t="s">
        <v>44</v>
      </c>
      <c r="D57" s="33" t="s">
        <v>45</v>
      </c>
      <c r="E57" s="33"/>
      <c r="F57" s="44"/>
    </row>
    <row r="58" spans="1:11" s="1" customFormat="1" ht="12.75" customHeight="1" x14ac:dyDescent="0.2">
      <c r="A58" s="60" t="s">
        <v>5548</v>
      </c>
      <c r="B58" s="60" t="s">
        <v>104</v>
      </c>
      <c r="C58" s="65">
        <v>0.25</v>
      </c>
      <c r="D58" s="35">
        <v>6</v>
      </c>
      <c r="E58" s="35" t="s">
        <v>105</v>
      </c>
      <c r="F58" s="34">
        <f>IFERROR(_xlfn.XLOOKUP(E58,Index!$A:$A,Index!$B:$B),"")</f>
        <v>2.75</v>
      </c>
    </row>
    <row r="59" spans="1:11" s="55" customFormat="1" ht="14.25" x14ac:dyDescent="0.2">
      <c r="A59" s="26"/>
      <c r="B59" s="26"/>
      <c r="C59" s="65">
        <v>0.375</v>
      </c>
      <c r="D59" s="35">
        <v>10</v>
      </c>
      <c r="E59" s="35" t="s">
        <v>105</v>
      </c>
      <c r="F59" s="34">
        <f>IFERROR(_xlfn.XLOOKUP(E59,Index!$A:$A,Index!$B:$B),"")</f>
        <v>2.75</v>
      </c>
      <c r="G59" s="1"/>
      <c r="H59" s="1"/>
      <c r="I59" s="1"/>
      <c r="J59" s="1"/>
    </row>
    <row r="60" spans="1:11" s="55" customFormat="1" ht="14.25" x14ac:dyDescent="0.2">
      <c r="A60" s="26"/>
      <c r="B60" s="26"/>
      <c r="C60" s="65">
        <v>0.5</v>
      </c>
      <c r="D60" s="35">
        <v>15</v>
      </c>
      <c r="E60" s="35" t="s">
        <v>105</v>
      </c>
      <c r="F60" s="34">
        <f>IFERROR(_xlfn.XLOOKUP(E60,Index!$A:$A,Index!$B:$B),"")</f>
        <v>2.75</v>
      </c>
      <c r="G60" s="1"/>
      <c r="H60" s="1"/>
      <c r="I60" s="1"/>
      <c r="J60" s="1"/>
    </row>
    <row r="61" spans="1:11" s="1" customFormat="1" ht="12.75" customHeight="1" x14ac:dyDescent="0.2">
      <c r="A61" s="26"/>
      <c r="B61" s="26"/>
      <c r="C61" s="65">
        <v>0.75</v>
      </c>
      <c r="D61" s="35">
        <v>20</v>
      </c>
      <c r="E61" s="35" t="s">
        <v>106</v>
      </c>
      <c r="F61" s="34">
        <f>IFERROR(_xlfn.XLOOKUP(E61,Index!$A:$A,Index!$B:$B),"")</f>
        <v>6</v>
      </c>
    </row>
    <row r="62" spans="1:11" s="1" customFormat="1" ht="12.75" customHeight="1" x14ac:dyDescent="0.2">
      <c r="A62" s="26"/>
      <c r="B62" s="26"/>
      <c r="C62" s="65">
        <v>1</v>
      </c>
      <c r="D62" s="35">
        <v>25</v>
      </c>
      <c r="E62" s="35" t="s">
        <v>107</v>
      </c>
      <c r="F62" s="34">
        <f>IFERROR(_xlfn.XLOOKUP(E62,Index!$A:$A,Index!$B:$B),"")</f>
        <v>6</v>
      </c>
    </row>
    <row r="63" spans="1:11" s="1" customFormat="1" ht="12.75" customHeight="1" x14ac:dyDescent="0.2">
      <c r="A63" s="26"/>
      <c r="B63" s="26"/>
      <c r="C63" s="65">
        <v>1.25</v>
      </c>
      <c r="D63" s="35">
        <v>32</v>
      </c>
      <c r="E63" s="35" t="s">
        <v>108</v>
      </c>
      <c r="F63" s="34">
        <f>IFERROR(_xlfn.XLOOKUP(E63,Index!$A:$A,Index!$B:$B),"")</f>
        <v>7.75</v>
      </c>
    </row>
    <row r="64" spans="1:11" s="1" customFormat="1" ht="12.75" customHeight="1" x14ac:dyDescent="0.2">
      <c r="A64" s="26"/>
      <c r="B64" s="26"/>
      <c r="C64" s="65">
        <v>1.5</v>
      </c>
      <c r="D64" s="35">
        <v>40</v>
      </c>
      <c r="E64" s="35" t="s">
        <v>109</v>
      </c>
      <c r="F64" s="34">
        <f>IFERROR(_xlfn.XLOOKUP(E64,Index!$A:$A,Index!$B:$B),"")</f>
        <v>8.5</v>
      </c>
    </row>
    <row r="65" spans="1:6" s="1" customFormat="1" ht="12.75" customHeight="1" x14ac:dyDescent="0.2">
      <c r="A65" s="26"/>
      <c r="B65" s="26"/>
      <c r="C65" s="65">
        <v>2</v>
      </c>
      <c r="D65" s="35">
        <v>50</v>
      </c>
      <c r="E65" s="35" t="s">
        <v>528</v>
      </c>
      <c r="F65" s="34">
        <f>IFERROR(_xlfn.XLOOKUP(E65,Index!$A:$A,Index!$B:$B),"")</f>
        <v>9</v>
      </c>
    </row>
    <row r="66" spans="1:6" s="1" customFormat="1" ht="12.75" customHeight="1" x14ac:dyDescent="0.2">
      <c r="A66" s="26"/>
      <c r="B66" s="26"/>
      <c r="C66" s="65">
        <v>2.5</v>
      </c>
      <c r="D66" s="35">
        <v>65</v>
      </c>
      <c r="E66" s="35" t="s">
        <v>529</v>
      </c>
      <c r="F66" s="34">
        <f>IFERROR(_xlfn.XLOOKUP(E66,Index!$A:$A,Index!$B:$B),"")</f>
        <v>15.75</v>
      </c>
    </row>
    <row r="67" spans="1:6" s="1" customFormat="1" ht="12.75" customHeight="1" x14ac:dyDescent="0.2">
      <c r="A67" s="26"/>
      <c r="B67" s="26"/>
      <c r="C67" s="65">
        <v>3</v>
      </c>
      <c r="D67" s="35">
        <v>80</v>
      </c>
      <c r="E67" s="35" t="s">
        <v>281</v>
      </c>
      <c r="F67" s="34">
        <f>IFERROR(_xlfn.XLOOKUP(E67,Index!$A:$A,Index!$B:$B),"")</f>
        <v>12.25</v>
      </c>
    </row>
    <row r="68" spans="1:6" s="1" customFormat="1" ht="12.75" customHeight="1" x14ac:dyDescent="0.2">
      <c r="A68" s="26"/>
      <c r="B68" s="60" t="s">
        <v>530</v>
      </c>
      <c r="C68" s="65">
        <v>0.25</v>
      </c>
      <c r="D68" s="35">
        <v>6</v>
      </c>
      <c r="E68" s="35" t="s">
        <v>531</v>
      </c>
      <c r="F68" s="34">
        <f>IFERROR(_xlfn.XLOOKUP(E68,Index!$A:$A,Index!$B:$B),"")</f>
        <v>8.25</v>
      </c>
    </row>
    <row r="69" spans="1:6" s="1" customFormat="1" ht="12.75" customHeight="1" x14ac:dyDescent="0.2">
      <c r="A69" s="26"/>
      <c r="B69" s="26"/>
      <c r="C69" s="65">
        <v>0.375</v>
      </c>
      <c r="D69" s="35">
        <v>10</v>
      </c>
      <c r="E69" s="35" t="s">
        <v>531</v>
      </c>
      <c r="F69" s="34">
        <f>IFERROR(_xlfn.XLOOKUP(E69,Index!$A:$A,Index!$B:$B),"")</f>
        <v>8.25</v>
      </c>
    </row>
    <row r="70" spans="1:6" s="1" customFormat="1" ht="12.75" customHeight="1" x14ac:dyDescent="0.2">
      <c r="A70" s="26"/>
      <c r="B70" s="26"/>
      <c r="C70" s="65">
        <v>0.5</v>
      </c>
      <c r="D70" s="35">
        <v>15</v>
      </c>
      <c r="E70" s="35" t="s">
        <v>531</v>
      </c>
      <c r="F70" s="34">
        <f>IFERROR(_xlfn.XLOOKUP(E70,Index!$A:$A,Index!$B:$B),"")</f>
        <v>8.25</v>
      </c>
    </row>
    <row r="71" spans="1:6" s="1" customFormat="1" ht="12.75" customHeight="1" x14ac:dyDescent="0.2">
      <c r="A71" s="26"/>
      <c r="B71" s="26"/>
      <c r="C71" s="65">
        <v>0.75</v>
      </c>
      <c r="D71" s="35">
        <v>20</v>
      </c>
      <c r="E71" s="35" t="s">
        <v>532</v>
      </c>
      <c r="F71" s="34">
        <f>IFERROR(_xlfn.XLOOKUP(E71,Index!$A:$A,Index!$B:$B),"")</f>
        <v>8.75</v>
      </c>
    </row>
    <row r="72" spans="1:6" s="1" customFormat="1" ht="12.75" customHeight="1" x14ac:dyDescent="0.2">
      <c r="A72" s="26"/>
      <c r="B72" s="26"/>
      <c r="C72" s="65">
        <v>1</v>
      </c>
      <c r="D72" s="35">
        <v>25</v>
      </c>
      <c r="E72" s="35" t="s">
        <v>533</v>
      </c>
      <c r="F72" s="34">
        <f>IFERROR(_xlfn.XLOOKUP(E72,Index!$A:$A,Index!$B:$B),"")</f>
        <v>8.75</v>
      </c>
    </row>
    <row r="73" spans="1:6" s="1" customFormat="1" ht="12.75" customHeight="1" x14ac:dyDescent="0.2">
      <c r="A73" s="26"/>
      <c r="B73" s="26"/>
      <c r="C73" s="65">
        <v>1.25</v>
      </c>
      <c r="D73" s="35">
        <v>32</v>
      </c>
      <c r="E73" s="35" t="s">
        <v>534</v>
      </c>
      <c r="F73" s="34">
        <f>IFERROR(_xlfn.XLOOKUP(E73,Index!$A:$A,Index!$B:$B),"")</f>
        <v>8.75</v>
      </c>
    </row>
    <row r="74" spans="1:6" s="1" customFormat="1" ht="12.75" customHeight="1" x14ac:dyDescent="0.2">
      <c r="A74" s="26"/>
      <c r="B74" s="26"/>
      <c r="C74" s="65">
        <v>1.5</v>
      </c>
      <c r="D74" s="35">
        <v>40</v>
      </c>
      <c r="E74" s="35" t="s">
        <v>535</v>
      </c>
      <c r="F74" s="34">
        <f>IFERROR(_xlfn.XLOOKUP(E74,Index!$A:$A,Index!$B:$B),"")</f>
        <v>13</v>
      </c>
    </row>
    <row r="75" spans="1:6" s="1" customFormat="1" ht="12.75" customHeight="1" x14ac:dyDescent="0.2">
      <c r="A75" s="26"/>
      <c r="B75" s="27"/>
      <c r="C75" s="65">
        <v>2</v>
      </c>
      <c r="D75" s="35">
        <v>50</v>
      </c>
      <c r="E75" s="35" t="s">
        <v>536</v>
      </c>
      <c r="F75" s="34">
        <f>IFERROR(_xlfn.XLOOKUP(E75,Index!$A:$A,Index!$B:$B),"")</f>
        <v>16.75</v>
      </c>
    </row>
    <row r="76" spans="1:6" s="1" customFormat="1" ht="12.75" customHeight="1" x14ac:dyDescent="0.2">
      <c r="A76" s="66"/>
      <c r="B76" s="26" t="s">
        <v>210</v>
      </c>
      <c r="C76" s="67">
        <v>2.5</v>
      </c>
      <c r="D76" s="35">
        <v>65</v>
      </c>
      <c r="E76" s="35" t="s">
        <v>537</v>
      </c>
      <c r="F76" s="34">
        <f>IFERROR(_xlfn.XLOOKUP(E76,Index!$A:$A,Index!$B:$B),"")</f>
        <v>59.25</v>
      </c>
    </row>
    <row r="77" spans="1:6" s="1" customFormat="1" ht="12.75" customHeight="1" x14ac:dyDescent="0.2">
      <c r="A77" s="26"/>
      <c r="B77" s="26"/>
      <c r="C77" s="65">
        <v>3</v>
      </c>
      <c r="D77" s="35">
        <v>80</v>
      </c>
      <c r="E77" s="35" t="s">
        <v>538</v>
      </c>
      <c r="F77" s="34">
        <f>IFERROR(_xlfn.XLOOKUP(E77,Index!$A:$A,Index!$B:$B),"")</f>
        <v>125</v>
      </c>
    </row>
    <row r="78" spans="1:6" s="1" customFormat="1" ht="12.75" customHeight="1" x14ac:dyDescent="0.2">
      <c r="A78" s="26"/>
      <c r="B78" s="60" t="s">
        <v>122</v>
      </c>
      <c r="C78" s="65">
        <v>0.25</v>
      </c>
      <c r="D78" s="35">
        <v>6</v>
      </c>
      <c r="E78" s="35" t="s">
        <v>539</v>
      </c>
      <c r="F78" s="34">
        <f>IFERROR(_xlfn.XLOOKUP(E78,Index!$A:$A,Index!$B:$B),"")</f>
        <v>63.5</v>
      </c>
    </row>
    <row r="79" spans="1:6" s="1" customFormat="1" ht="12.75" customHeight="1" x14ac:dyDescent="0.2">
      <c r="A79" s="26"/>
      <c r="B79" s="26"/>
      <c r="C79" s="65">
        <v>0.375</v>
      </c>
      <c r="D79" s="35">
        <v>10</v>
      </c>
      <c r="E79" s="35" t="s">
        <v>539</v>
      </c>
      <c r="F79" s="34">
        <f>IFERROR(_xlfn.XLOOKUP(E79,Index!$A:$A,Index!$B:$B),"")</f>
        <v>63.5</v>
      </c>
    </row>
    <row r="80" spans="1:6" s="1" customFormat="1" ht="12.75" customHeight="1" x14ac:dyDescent="0.2">
      <c r="A80" s="26"/>
      <c r="C80" s="65">
        <v>0.5</v>
      </c>
      <c r="D80" s="35">
        <v>15</v>
      </c>
      <c r="E80" s="35" t="s">
        <v>539</v>
      </c>
      <c r="F80" s="34">
        <f>IFERROR(_xlfn.XLOOKUP(E80,Index!$A:$A,Index!$B:$B),"")</f>
        <v>63.5</v>
      </c>
    </row>
    <row r="81" spans="1:6" s="1" customFormat="1" ht="12.75" customHeight="1" x14ac:dyDescent="0.2">
      <c r="A81" s="26"/>
      <c r="B81" s="26"/>
      <c r="C81" s="65">
        <v>0.75</v>
      </c>
      <c r="D81" s="35">
        <v>20</v>
      </c>
      <c r="E81" s="35" t="s">
        <v>540</v>
      </c>
      <c r="F81" s="34">
        <f>IFERROR(_xlfn.XLOOKUP(E81,Index!$A:$A,Index!$B:$B),"")</f>
        <v>63.5</v>
      </c>
    </row>
    <row r="82" spans="1:6" s="1" customFormat="1" ht="12.75" customHeight="1" x14ac:dyDescent="0.2">
      <c r="A82" s="26"/>
      <c r="B82" s="26"/>
      <c r="C82" s="65">
        <v>1</v>
      </c>
      <c r="D82" s="35">
        <v>25</v>
      </c>
      <c r="E82" s="35" t="s">
        <v>541</v>
      </c>
      <c r="F82" s="34">
        <f>IFERROR(_xlfn.XLOOKUP(E82,Index!$A:$A,Index!$B:$B),"")</f>
        <v>73.5</v>
      </c>
    </row>
    <row r="83" spans="1:6" s="1" customFormat="1" ht="12.75" customHeight="1" x14ac:dyDescent="0.2">
      <c r="A83" s="26"/>
      <c r="B83" s="26"/>
      <c r="C83" s="65">
        <v>1.25</v>
      </c>
      <c r="D83" s="35">
        <v>32</v>
      </c>
      <c r="E83" s="35" t="s">
        <v>542</v>
      </c>
      <c r="F83" s="34">
        <f>IFERROR(_xlfn.XLOOKUP(E83,Index!$A:$A,Index!$B:$B),"")</f>
        <v>80.5</v>
      </c>
    </row>
    <row r="84" spans="1:6" s="1" customFormat="1" ht="12.75" customHeight="1" x14ac:dyDescent="0.2">
      <c r="A84" s="26"/>
      <c r="B84" s="26"/>
      <c r="C84" s="65">
        <v>1.5</v>
      </c>
      <c r="D84" s="35">
        <v>40</v>
      </c>
      <c r="E84" s="35" t="s">
        <v>543</v>
      </c>
      <c r="F84" s="34">
        <f>IFERROR(_xlfn.XLOOKUP(E84,Index!$A:$A,Index!$B:$B),"")</f>
        <v>88.5</v>
      </c>
    </row>
    <row r="85" spans="1:6" s="1" customFormat="1" ht="12.75" customHeight="1" x14ac:dyDescent="0.2">
      <c r="A85" s="26"/>
      <c r="B85" s="26"/>
      <c r="C85" s="65">
        <v>2</v>
      </c>
      <c r="D85" s="35">
        <v>50</v>
      </c>
      <c r="E85" s="35" t="s">
        <v>544</v>
      </c>
      <c r="F85" s="34">
        <f>IFERROR(_xlfn.XLOOKUP(E85,Index!$A:$A,Index!$B:$B),"")</f>
        <v>88.5</v>
      </c>
    </row>
    <row r="86" spans="1:6" s="1" customFormat="1" ht="12.75" customHeight="1" x14ac:dyDescent="0.2">
      <c r="A86" s="26"/>
      <c r="B86" s="26"/>
      <c r="C86" s="65">
        <v>2.5</v>
      </c>
      <c r="D86" s="35">
        <v>65</v>
      </c>
      <c r="E86" s="38" t="s">
        <v>545</v>
      </c>
      <c r="F86" s="34">
        <f>IFERROR(_xlfn.XLOOKUP(E86,Index!$A:$A,Index!$B:$B),"")</f>
        <v>93.5</v>
      </c>
    </row>
    <row r="87" spans="1:6" s="1" customFormat="1" ht="12.75" customHeight="1" x14ac:dyDescent="0.2">
      <c r="A87" s="26"/>
      <c r="B87" s="26"/>
      <c r="C87" s="65">
        <v>3</v>
      </c>
      <c r="D87" s="35">
        <v>80</v>
      </c>
      <c r="E87" s="35" t="s">
        <v>546</v>
      </c>
      <c r="F87" s="34">
        <f>IFERROR(_xlfn.XLOOKUP(E87,Index!$A:$A,Index!$B:$B),"")</f>
        <v>125</v>
      </c>
    </row>
    <row r="88" spans="1:6" s="1" customFormat="1" ht="12.75" customHeight="1" x14ac:dyDescent="0.2">
      <c r="A88" s="26"/>
      <c r="B88" s="60" t="s">
        <v>134</v>
      </c>
      <c r="C88" s="65">
        <v>0.25</v>
      </c>
      <c r="D88" s="35">
        <v>6</v>
      </c>
      <c r="E88" s="35" t="s">
        <v>547</v>
      </c>
      <c r="F88" s="34">
        <f>IFERROR(_xlfn.XLOOKUP(E88,Index!$A:$A,Index!$B:$B),"")</f>
        <v>63.5</v>
      </c>
    </row>
    <row r="89" spans="1:6" s="1" customFormat="1" ht="12.75" customHeight="1" x14ac:dyDescent="0.2">
      <c r="A89" s="26"/>
      <c r="B89" s="26"/>
      <c r="C89" s="65">
        <v>0.375</v>
      </c>
      <c r="D89" s="35">
        <v>10</v>
      </c>
      <c r="E89" s="35" t="s">
        <v>547</v>
      </c>
      <c r="F89" s="34">
        <f>IFERROR(_xlfn.XLOOKUP(E89,Index!$A:$A,Index!$B:$B),"")</f>
        <v>63.5</v>
      </c>
    </row>
    <row r="90" spans="1:6" s="1" customFormat="1" ht="12.75" customHeight="1" x14ac:dyDescent="0.2">
      <c r="A90" s="26"/>
      <c r="B90" s="26"/>
      <c r="C90" s="65">
        <v>0.5</v>
      </c>
      <c r="D90" s="35">
        <v>15</v>
      </c>
      <c r="E90" s="35" t="s">
        <v>547</v>
      </c>
      <c r="F90" s="34">
        <f>IFERROR(_xlfn.XLOOKUP(E90,Index!$A:$A,Index!$B:$B),"")</f>
        <v>63.5</v>
      </c>
    </row>
    <row r="91" spans="1:6" s="1" customFormat="1" ht="12.75" customHeight="1" x14ac:dyDescent="0.2">
      <c r="A91" s="26"/>
      <c r="B91" s="26"/>
      <c r="C91" s="65">
        <v>0.75</v>
      </c>
      <c r="D91" s="35">
        <v>20</v>
      </c>
      <c r="E91" s="35" t="s">
        <v>548</v>
      </c>
      <c r="F91" s="34">
        <f>IFERROR(_xlfn.XLOOKUP(E91,Index!$A:$A,Index!$B:$B),"")</f>
        <v>63.5</v>
      </c>
    </row>
    <row r="92" spans="1:6" s="1" customFormat="1" ht="12.75" customHeight="1" x14ac:dyDescent="0.2">
      <c r="A92" s="26"/>
      <c r="B92" s="26"/>
      <c r="C92" s="65">
        <v>1</v>
      </c>
      <c r="D92" s="35">
        <v>25</v>
      </c>
      <c r="E92" s="35" t="s">
        <v>549</v>
      </c>
      <c r="F92" s="34">
        <f>IFERROR(_xlfn.XLOOKUP(E92,Index!$A:$A,Index!$B:$B),"")</f>
        <v>73.5</v>
      </c>
    </row>
    <row r="93" spans="1:6" s="1" customFormat="1" ht="12.75" customHeight="1" x14ac:dyDescent="0.2">
      <c r="A93" s="26"/>
      <c r="B93" s="26"/>
      <c r="C93" s="65">
        <v>1.25</v>
      </c>
      <c r="D93" s="35">
        <v>32</v>
      </c>
      <c r="E93" s="35" t="s">
        <v>550</v>
      </c>
      <c r="F93" s="34">
        <f>IFERROR(_xlfn.XLOOKUP(E93,Index!$A:$A,Index!$B:$B),"")</f>
        <v>80.5</v>
      </c>
    </row>
    <row r="94" spans="1:6" s="1" customFormat="1" ht="12.75" customHeight="1" x14ac:dyDescent="0.2">
      <c r="A94" s="26"/>
      <c r="B94" s="26"/>
      <c r="C94" s="65">
        <v>1.5</v>
      </c>
      <c r="D94" s="35">
        <v>40</v>
      </c>
      <c r="E94" s="35" t="s">
        <v>551</v>
      </c>
      <c r="F94" s="34">
        <f>IFERROR(_xlfn.XLOOKUP(E94,Index!$A:$A,Index!$B:$B),"")</f>
        <v>88.5</v>
      </c>
    </row>
    <row r="95" spans="1:6" s="1" customFormat="1" ht="12.75" customHeight="1" x14ac:dyDescent="0.2">
      <c r="A95" s="26"/>
      <c r="B95" s="26"/>
      <c r="C95" s="65">
        <v>2</v>
      </c>
      <c r="D95" s="35">
        <v>50</v>
      </c>
      <c r="E95" s="35" t="s">
        <v>552</v>
      </c>
      <c r="F95" s="34">
        <f>IFERROR(_xlfn.XLOOKUP(E95,Index!$A:$A,Index!$B:$B),"")</f>
        <v>88.5</v>
      </c>
    </row>
    <row r="96" spans="1:6" s="1" customFormat="1" ht="12.75" customHeight="1" x14ac:dyDescent="0.2">
      <c r="A96" s="26"/>
      <c r="B96" s="26"/>
      <c r="C96" s="65">
        <v>2.5</v>
      </c>
      <c r="D96" s="35">
        <v>65</v>
      </c>
      <c r="E96" s="35" t="s">
        <v>553</v>
      </c>
      <c r="F96" s="34">
        <f>IFERROR(_xlfn.XLOOKUP(E96,Index!$A:$A,Index!$B:$B),"")</f>
        <v>93.5</v>
      </c>
    </row>
    <row r="97" spans="1:6" s="1" customFormat="1" ht="12.75" customHeight="1" x14ac:dyDescent="0.2">
      <c r="A97" s="26"/>
      <c r="B97" s="26"/>
      <c r="C97" s="221">
        <v>3</v>
      </c>
      <c r="D97" s="89">
        <v>80</v>
      </c>
      <c r="E97" s="89" t="s">
        <v>554</v>
      </c>
      <c r="F97" s="34">
        <f>IFERROR(_xlfn.XLOOKUP(E97,Index!$A:$A,Index!$B:$B),"")</f>
        <v>125</v>
      </c>
    </row>
    <row r="98" spans="1:6" s="1" customFormat="1" ht="12.75" customHeight="1" x14ac:dyDescent="0.2">
      <c r="A98" s="26"/>
      <c r="B98" s="60" t="s">
        <v>145</v>
      </c>
      <c r="C98" s="65">
        <v>0.25</v>
      </c>
      <c r="D98" s="35">
        <v>6</v>
      </c>
      <c r="E98" s="35" t="s">
        <v>555</v>
      </c>
      <c r="F98" s="34">
        <f>IFERROR(_xlfn.XLOOKUP(E98,Index!$A:$A,Index!$B:$B),"")</f>
        <v>57.5</v>
      </c>
    </row>
    <row r="99" spans="1:6" s="1" customFormat="1" ht="12.75" customHeight="1" x14ac:dyDescent="0.2">
      <c r="A99" s="26"/>
      <c r="B99" s="26"/>
      <c r="C99" s="65">
        <v>0.375</v>
      </c>
      <c r="D99" s="35">
        <v>10</v>
      </c>
      <c r="E99" s="35" t="s">
        <v>555</v>
      </c>
      <c r="F99" s="34">
        <f>IFERROR(_xlfn.XLOOKUP(E99,Index!$A:$A,Index!$B:$B),"")</f>
        <v>57.5</v>
      </c>
    </row>
    <row r="100" spans="1:6" s="1" customFormat="1" ht="12.75" customHeight="1" x14ac:dyDescent="0.2">
      <c r="A100" s="26"/>
      <c r="B100" s="26"/>
      <c r="C100" s="65">
        <v>0.5</v>
      </c>
      <c r="D100" s="35">
        <v>15</v>
      </c>
      <c r="E100" s="35" t="s">
        <v>555</v>
      </c>
      <c r="F100" s="34">
        <f>IFERROR(_xlfn.XLOOKUP(E100,Index!$A:$A,Index!$B:$B),"")</f>
        <v>57.5</v>
      </c>
    </row>
    <row r="101" spans="1:6" s="1" customFormat="1" ht="12.75" customHeight="1" x14ac:dyDescent="0.2">
      <c r="A101" s="26"/>
      <c r="B101" s="26"/>
      <c r="C101" s="65">
        <v>0.75</v>
      </c>
      <c r="D101" s="35">
        <v>20</v>
      </c>
      <c r="E101" s="35" t="s">
        <v>556</v>
      </c>
      <c r="F101" s="34">
        <f>IFERROR(_xlfn.XLOOKUP(E101,Index!$A:$A,Index!$B:$B),"")</f>
        <v>63.5</v>
      </c>
    </row>
    <row r="102" spans="1:6" s="1" customFormat="1" ht="12.75" customHeight="1" x14ac:dyDescent="0.2">
      <c r="A102" s="26"/>
      <c r="B102" s="26"/>
      <c r="C102" s="65">
        <v>1</v>
      </c>
      <c r="D102" s="35">
        <v>25</v>
      </c>
      <c r="E102" s="35" t="s">
        <v>557</v>
      </c>
      <c r="F102" s="34">
        <f>IFERROR(_xlfn.XLOOKUP(E102,Index!$A:$A,Index!$B:$B),"")</f>
        <v>73.5</v>
      </c>
    </row>
    <row r="103" spans="1:6" s="1" customFormat="1" ht="12.75" customHeight="1" x14ac:dyDescent="0.2">
      <c r="A103" s="26"/>
      <c r="B103" s="26"/>
      <c r="C103" s="65">
        <v>1.25</v>
      </c>
      <c r="D103" s="35">
        <v>32</v>
      </c>
      <c r="E103" s="35" t="s">
        <v>2848</v>
      </c>
      <c r="F103" s="34">
        <f>IFERROR(_xlfn.XLOOKUP(E103,Index!$A:$A,Index!$B:$B),"")</f>
        <v>80.5</v>
      </c>
    </row>
    <row r="104" spans="1:6" s="1" customFormat="1" ht="12.75" customHeight="1" x14ac:dyDescent="0.2">
      <c r="A104" s="26"/>
      <c r="B104" s="26"/>
      <c r="C104" s="65">
        <v>1.5</v>
      </c>
      <c r="D104" s="35">
        <v>40</v>
      </c>
      <c r="E104" s="35" t="s">
        <v>2847</v>
      </c>
      <c r="F104" s="34">
        <f>IFERROR(_xlfn.XLOOKUP(E104,Index!$A:$A,Index!$B:$B),"")</f>
        <v>88.5</v>
      </c>
    </row>
    <row r="105" spans="1:6" s="1" customFormat="1" ht="12.75" customHeight="1" x14ac:dyDescent="0.2">
      <c r="A105" s="26"/>
      <c r="B105" s="26"/>
      <c r="C105" s="65">
        <v>2</v>
      </c>
      <c r="D105" s="35">
        <v>50</v>
      </c>
      <c r="E105" s="35" t="s">
        <v>558</v>
      </c>
      <c r="F105" s="34">
        <f>IFERROR(_xlfn.XLOOKUP(E105,Index!$A:$A,Index!$B:$B),"")</f>
        <v>88.5</v>
      </c>
    </row>
    <row r="106" spans="1:6" s="1" customFormat="1" ht="12.75" customHeight="1" x14ac:dyDescent="0.2">
      <c r="A106" s="26"/>
      <c r="B106" s="26"/>
      <c r="C106" s="65">
        <v>2.5</v>
      </c>
      <c r="D106" s="35">
        <v>65</v>
      </c>
      <c r="E106" s="35" t="s">
        <v>559</v>
      </c>
      <c r="F106" s="34">
        <f>IFERROR(_xlfn.XLOOKUP(E106,Index!$A:$A,Index!$B:$B),"")</f>
        <v>93.5</v>
      </c>
    </row>
    <row r="107" spans="1:6" s="1" customFormat="1" ht="12.75" customHeight="1" x14ac:dyDescent="0.2">
      <c r="A107" s="26"/>
      <c r="B107" s="27"/>
      <c r="C107" s="65">
        <v>3</v>
      </c>
      <c r="D107" s="35">
        <v>80</v>
      </c>
      <c r="E107" s="35" t="s">
        <v>560</v>
      </c>
      <c r="F107" s="34">
        <f>IFERROR(_xlfn.XLOOKUP(E107,Index!$A:$A,Index!$B:$B),"")</f>
        <v>125</v>
      </c>
    </row>
    <row r="108" spans="1:6" s="1" customFormat="1" ht="12.75" customHeight="1" x14ac:dyDescent="0.2">
      <c r="A108" s="26"/>
      <c r="B108" s="26" t="s">
        <v>155</v>
      </c>
      <c r="C108" s="222">
        <v>0.25</v>
      </c>
      <c r="D108" s="31">
        <v>6</v>
      </c>
      <c r="E108" s="31" t="s">
        <v>561</v>
      </c>
      <c r="F108" s="34">
        <f>IFERROR(_xlfn.XLOOKUP(E108,Index!$A:$A,Index!$B:$B),"")</f>
        <v>57.5</v>
      </c>
    </row>
    <row r="109" spans="1:6" s="1" customFormat="1" ht="12.75" customHeight="1" x14ac:dyDescent="0.2">
      <c r="A109" s="26"/>
      <c r="B109" s="26"/>
      <c r="C109" s="65">
        <v>0.375</v>
      </c>
      <c r="D109" s="35">
        <v>10</v>
      </c>
      <c r="E109" s="35" t="s">
        <v>561</v>
      </c>
      <c r="F109" s="34">
        <f>IFERROR(_xlfn.XLOOKUP(E109,Index!$A:$A,Index!$B:$B),"")</f>
        <v>57.5</v>
      </c>
    </row>
    <row r="110" spans="1:6" s="1" customFormat="1" ht="12.75" customHeight="1" x14ac:dyDescent="0.2">
      <c r="A110" s="26"/>
      <c r="B110" s="26"/>
      <c r="C110" s="65">
        <v>0.5</v>
      </c>
      <c r="D110" s="35">
        <v>15</v>
      </c>
      <c r="E110" s="35" t="s">
        <v>561</v>
      </c>
      <c r="F110" s="34">
        <f>IFERROR(_xlfn.XLOOKUP(E110,Index!$A:$A,Index!$B:$B),"")</f>
        <v>57.5</v>
      </c>
    </row>
    <row r="111" spans="1:6" s="1" customFormat="1" ht="12.75" customHeight="1" x14ac:dyDescent="0.2">
      <c r="A111" s="26"/>
      <c r="B111" s="26"/>
      <c r="C111" s="65">
        <v>0.75</v>
      </c>
      <c r="D111" s="35">
        <v>20</v>
      </c>
      <c r="E111" s="35" t="s">
        <v>562</v>
      </c>
      <c r="F111" s="34">
        <f>IFERROR(_xlfn.XLOOKUP(E111,Index!$A:$A,Index!$B:$B),"")</f>
        <v>63.5</v>
      </c>
    </row>
    <row r="112" spans="1:6" s="1" customFormat="1" ht="12.75" customHeight="1" x14ac:dyDescent="0.2">
      <c r="A112" s="26"/>
      <c r="B112" s="26"/>
      <c r="C112" s="65">
        <v>1</v>
      </c>
      <c r="D112" s="35">
        <v>25</v>
      </c>
      <c r="E112" s="35" t="s">
        <v>563</v>
      </c>
      <c r="F112" s="34">
        <f>IFERROR(_xlfn.XLOOKUP(E112,Index!$A:$A,Index!$B:$B),"")</f>
        <v>73.5</v>
      </c>
    </row>
    <row r="113" spans="1:14" s="1" customFormat="1" ht="12.75" customHeight="1" x14ac:dyDescent="0.2">
      <c r="A113" s="26"/>
      <c r="B113" s="26"/>
      <c r="C113" s="65">
        <v>1.25</v>
      </c>
      <c r="D113" s="35">
        <v>32</v>
      </c>
      <c r="E113" s="35" t="s">
        <v>564</v>
      </c>
      <c r="F113" s="34">
        <f>IFERROR(_xlfn.XLOOKUP(E113,Index!$A:$A,Index!$B:$B),"")</f>
        <v>80.5</v>
      </c>
    </row>
    <row r="114" spans="1:14" s="1" customFormat="1" ht="12.75" customHeight="1" x14ac:dyDescent="0.2">
      <c r="A114" s="26"/>
      <c r="B114" s="26"/>
      <c r="C114" s="65">
        <v>1.5</v>
      </c>
      <c r="D114" s="35">
        <v>40</v>
      </c>
      <c r="E114" s="35" t="s">
        <v>565</v>
      </c>
      <c r="F114" s="34">
        <f>IFERROR(_xlfn.XLOOKUP(E114,Index!$A:$A,Index!$B:$B),"")</f>
        <v>88.5</v>
      </c>
    </row>
    <row r="115" spans="1:14" s="1" customFormat="1" ht="12.75" customHeight="1" x14ac:dyDescent="0.2">
      <c r="A115" s="26"/>
      <c r="B115" s="26"/>
      <c r="C115" s="65">
        <v>2</v>
      </c>
      <c r="D115" s="35">
        <v>50</v>
      </c>
      <c r="E115" s="35" t="s">
        <v>566</v>
      </c>
      <c r="F115" s="34">
        <f>IFERROR(_xlfn.XLOOKUP(E115,Index!$A:$A,Index!$B:$B),"")</f>
        <v>88.5</v>
      </c>
    </row>
    <row r="116" spans="1:14" s="1" customFormat="1" ht="12.75" customHeight="1" x14ac:dyDescent="0.2">
      <c r="A116" s="26"/>
      <c r="B116" s="26"/>
      <c r="C116" s="65">
        <v>2.5</v>
      </c>
      <c r="D116" s="35">
        <v>65</v>
      </c>
      <c r="E116" s="35" t="s">
        <v>567</v>
      </c>
      <c r="F116" s="34">
        <f>IFERROR(_xlfn.XLOOKUP(E116,Index!$A:$A,Index!$B:$B),"")</f>
        <v>93.5</v>
      </c>
    </row>
    <row r="117" spans="1:14" s="1" customFormat="1" ht="12.75" customHeight="1" x14ac:dyDescent="0.2">
      <c r="A117" s="27"/>
      <c r="B117" s="27"/>
      <c r="C117" s="65">
        <v>3</v>
      </c>
      <c r="D117" s="35">
        <v>80</v>
      </c>
      <c r="E117" s="35" t="s">
        <v>568</v>
      </c>
      <c r="F117" s="34">
        <f>IFERROR(_xlfn.XLOOKUP(E117,Index!$A:$A,Index!$B:$B),"")</f>
        <v>125</v>
      </c>
    </row>
    <row r="118" spans="1:14" x14ac:dyDescent="0.25">
      <c r="K118" s="1"/>
      <c r="L118" s="1"/>
      <c r="M118" s="1"/>
      <c r="N118" s="1"/>
    </row>
    <row r="119" spans="1:14" x14ac:dyDescent="0.25">
      <c r="K119" s="1"/>
      <c r="L119" s="1"/>
      <c r="M119" s="1"/>
      <c r="N119" s="1"/>
    </row>
    <row r="120" spans="1:14" s="1" customFormat="1" ht="15.75" x14ac:dyDescent="0.2">
      <c r="A120" s="62" t="s">
        <v>569</v>
      </c>
      <c r="B120" s="62" t="s">
        <v>33</v>
      </c>
      <c r="C120" s="14"/>
      <c r="D120" s="3"/>
      <c r="E120" s="8"/>
      <c r="F120" s="9"/>
      <c r="G120" s="10"/>
      <c r="H120" s="19"/>
      <c r="I120" s="19"/>
      <c r="J120" s="20"/>
    </row>
    <row r="121" spans="1:14" s="1" customFormat="1" ht="15.75" x14ac:dyDescent="0.2">
      <c r="A121" s="48" t="s">
        <v>482</v>
      </c>
      <c r="B121" s="11"/>
      <c r="C121" s="4"/>
      <c r="D121" s="4"/>
      <c r="E121" s="5"/>
      <c r="F121" s="9"/>
      <c r="G121" s="4"/>
      <c r="H121" s="19"/>
      <c r="I121" s="19"/>
      <c r="J121" s="20"/>
    </row>
    <row r="122" spans="1:14" s="1" customFormat="1" ht="12.75" customHeight="1" x14ac:dyDescent="0.2">
      <c r="A122" s="25" t="s">
        <v>35</v>
      </c>
      <c r="B122" s="28" t="s">
        <v>36</v>
      </c>
      <c r="C122" s="29" t="s">
        <v>37</v>
      </c>
      <c r="D122" s="22"/>
      <c r="E122" s="22" t="s">
        <v>38</v>
      </c>
      <c r="F122" s="22"/>
      <c r="G122" s="23" t="s">
        <v>39</v>
      </c>
      <c r="H122" s="23"/>
      <c r="I122" s="42" t="s">
        <v>40</v>
      </c>
      <c r="J122" s="24" t="s">
        <v>41</v>
      </c>
    </row>
    <row r="123" spans="1:14" s="1" customFormat="1" ht="12.75" customHeight="1" x14ac:dyDescent="0.2">
      <c r="A123" s="32"/>
      <c r="B123" s="32"/>
      <c r="C123" s="33" t="s">
        <v>42</v>
      </c>
      <c r="D123" s="33" t="s">
        <v>43</v>
      </c>
      <c r="E123" s="33" t="s">
        <v>44</v>
      </c>
      <c r="F123" s="33" t="s">
        <v>45</v>
      </c>
      <c r="G123" s="33" t="s">
        <v>46</v>
      </c>
      <c r="H123" s="39" t="s">
        <v>47</v>
      </c>
      <c r="I123" s="33"/>
      <c r="J123" s="41"/>
    </row>
    <row r="124" spans="1:14" s="1" customFormat="1" ht="12.75" customHeight="1" x14ac:dyDescent="0.2">
      <c r="A124" s="26" t="s">
        <v>570</v>
      </c>
      <c r="B124" s="26" t="s">
        <v>49</v>
      </c>
      <c r="C124" s="30" t="s">
        <v>50</v>
      </c>
      <c r="D124" s="35" t="s">
        <v>51</v>
      </c>
      <c r="E124" s="64">
        <v>0.375</v>
      </c>
      <c r="F124" s="37">
        <v>10</v>
      </c>
      <c r="G124" s="35">
        <v>1.1299999999999999</v>
      </c>
      <c r="H124" s="40">
        <v>0.5</v>
      </c>
      <c r="I124" s="38" t="s">
        <v>571</v>
      </c>
      <c r="J124" s="34">
        <f>IFERROR(_xlfn.XLOOKUP(I124,Index!$A:$A,Index!$B:$B),"")</f>
        <v>123</v>
      </c>
    </row>
    <row r="125" spans="1:14" s="1" customFormat="1" ht="12" x14ac:dyDescent="0.2">
      <c r="A125" s="26"/>
      <c r="B125" s="26"/>
      <c r="C125" s="30"/>
      <c r="D125" s="35" t="s">
        <v>53</v>
      </c>
      <c r="E125" s="64">
        <v>0.375</v>
      </c>
      <c r="F125" s="37">
        <v>10</v>
      </c>
      <c r="G125" s="35">
        <v>1.1299999999999999</v>
      </c>
      <c r="H125" s="40">
        <v>0.5</v>
      </c>
      <c r="I125" s="38" t="s">
        <v>572</v>
      </c>
      <c r="J125" s="34">
        <f>IFERROR(_xlfn.XLOOKUP(I125,Index!$A:$A,Index!$B:$B),"")</f>
        <v>129.5</v>
      </c>
    </row>
    <row r="126" spans="1:14" s="1" customFormat="1" ht="12" x14ac:dyDescent="0.2">
      <c r="A126" s="26"/>
      <c r="B126" s="26"/>
      <c r="C126" s="30"/>
      <c r="D126" s="35" t="s">
        <v>55</v>
      </c>
      <c r="E126" s="64">
        <v>0.375</v>
      </c>
      <c r="F126" s="37">
        <v>10</v>
      </c>
      <c r="G126" s="35">
        <v>1.1299999999999999</v>
      </c>
      <c r="H126" s="40">
        <v>0.5</v>
      </c>
      <c r="I126" s="38" t="s">
        <v>573</v>
      </c>
      <c r="J126" s="34">
        <f>IFERROR(_xlfn.XLOOKUP(I126,Index!$A:$A,Index!$B:$B),"")</f>
        <v>129.5</v>
      </c>
    </row>
    <row r="127" spans="1:14" s="1" customFormat="1" ht="12.75" customHeight="1" x14ac:dyDescent="0.2">
      <c r="A127" s="26"/>
      <c r="B127" s="26"/>
      <c r="C127" s="30"/>
      <c r="D127" s="35" t="s">
        <v>51</v>
      </c>
      <c r="E127" s="64">
        <v>0.5</v>
      </c>
      <c r="F127" s="37">
        <v>15</v>
      </c>
      <c r="G127" s="35">
        <v>1.75</v>
      </c>
      <c r="H127" s="40">
        <v>0.8</v>
      </c>
      <c r="I127" s="38" t="s">
        <v>574</v>
      </c>
      <c r="J127" s="34">
        <f>IFERROR(_xlfn.XLOOKUP(I127,Index!$A:$A,Index!$B:$B),"")</f>
        <v>123</v>
      </c>
    </row>
    <row r="128" spans="1:14" s="1" customFormat="1" ht="12.75" customHeight="1" x14ac:dyDescent="0.2">
      <c r="A128" s="26"/>
      <c r="B128" s="26"/>
      <c r="C128" s="30"/>
      <c r="D128" s="35" t="s">
        <v>53</v>
      </c>
      <c r="E128" s="64">
        <v>0.5</v>
      </c>
      <c r="F128" s="37">
        <v>15</v>
      </c>
      <c r="G128" s="35">
        <v>1.75</v>
      </c>
      <c r="H128" s="40">
        <v>0.8</v>
      </c>
      <c r="I128" s="38" t="s">
        <v>575</v>
      </c>
      <c r="J128" s="34">
        <f>IFERROR(_xlfn.XLOOKUP(I128,Index!$A:$A,Index!$B:$B),"")</f>
        <v>129.5</v>
      </c>
    </row>
    <row r="129" spans="1:10" s="1" customFormat="1" ht="12.75" customHeight="1" x14ac:dyDescent="0.2">
      <c r="A129" s="26"/>
      <c r="B129" s="26"/>
      <c r="C129" s="30"/>
      <c r="D129" s="35" t="s">
        <v>55</v>
      </c>
      <c r="E129" s="64">
        <v>0.5</v>
      </c>
      <c r="F129" s="37">
        <v>15</v>
      </c>
      <c r="G129" s="35">
        <v>1.75</v>
      </c>
      <c r="H129" s="40">
        <v>0.8</v>
      </c>
      <c r="I129" s="38" t="s">
        <v>576</v>
      </c>
      <c r="J129" s="34">
        <f>IFERROR(_xlfn.XLOOKUP(I129,Index!$A:$A,Index!$B:$B),"")</f>
        <v>129.5</v>
      </c>
    </row>
    <row r="130" spans="1:10" s="1" customFormat="1" ht="12.75" customHeight="1" x14ac:dyDescent="0.2">
      <c r="A130" s="26"/>
      <c r="B130" s="26"/>
      <c r="C130" s="30"/>
      <c r="D130" s="35" t="s">
        <v>51</v>
      </c>
      <c r="E130" s="64">
        <v>0.75</v>
      </c>
      <c r="F130" s="37">
        <v>20</v>
      </c>
      <c r="G130" s="35">
        <v>2.75</v>
      </c>
      <c r="H130" s="40">
        <v>1.2</v>
      </c>
      <c r="I130" s="38" t="s">
        <v>577</v>
      </c>
      <c r="J130" s="34">
        <f>IFERROR(_xlfn.XLOOKUP(I130,Index!$A:$A,Index!$B:$B),"")</f>
        <v>178</v>
      </c>
    </row>
    <row r="131" spans="1:10" s="1" customFormat="1" ht="12.75" customHeight="1" x14ac:dyDescent="0.2">
      <c r="A131" s="26"/>
      <c r="B131" s="26"/>
      <c r="C131" s="30"/>
      <c r="D131" s="35" t="s">
        <v>53</v>
      </c>
      <c r="E131" s="64">
        <v>0.75</v>
      </c>
      <c r="F131" s="37">
        <v>20</v>
      </c>
      <c r="G131" s="35">
        <v>2.75</v>
      </c>
      <c r="H131" s="40">
        <v>1.2</v>
      </c>
      <c r="I131" s="38" t="s">
        <v>578</v>
      </c>
      <c r="J131" s="34">
        <f>IFERROR(_xlfn.XLOOKUP(I131,Index!$A:$A,Index!$B:$B),"")</f>
        <v>187</v>
      </c>
    </row>
    <row r="132" spans="1:10" s="1" customFormat="1" ht="12.75" customHeight="1" x14ac:dyDescent="0.2">
      <c r="A132" s="26"/>
      <c r="B132" s="26"/>
      <c r="C132" s="30"/>
      <c r="D132" s="35" t="s">
        <v>55</v>
      </c>
      <c r="E132" s="64">
        <v>0.75</v>
      </c>
      <c r="F132" s="37">
        <v>20</v>
      </c>
      <c r="G132" s="35">
        <v>2.75</v>
      </c>
      <c r="H132" s="40">
        <v>1.2</v>
      </c>
      <c r="I132" s="38" t="s">
        <v>579</v>
      </c>
      <c r="J132" s="34">
        <f>IFERROR(_xlfn.XLOOKUP(I132,Index!$A:$A,Index!$B:$B),"")</f>
        <v>187</v>
      </c>
    </row>
    <row r="133" spans="1:10" s="1" customFormat="1" ht="12.75" customHeight="1" x14ac:dyDescent="0.2">
      <c r="A133" s="26"/>
      <c r="B133" s="26"/>
      <c r="C133" s="30"/>
      <c r="D133" s="35" t="s">
        <v>51</v>
      </c>
      <c r="E133" s="36">
        <v>1</v>
      </c>
      <c r="F133" s="37">
        <v>25</v>
      </c>
      <c r="G133" s="35">
        <v>4.5</v>
      </c>
      <c r="H133" s="40">
        <v>2</v>
      </c>
      <c r="I133" s="38" t="s">
        <v>580</v>
      </c>
      <c r="J133" s="34">
        <f>IFERROR(_xlfn.XLOOKUP(I133,Index!$A:$A,Index!$B:$B),"")</f>
        <v>245.5</v>
      </c>
    </row>
    <row r="134" spans="1:10" s="1" customFormat="1" ht="12.75" customHeight="1" x14ac:dyDescent="0.2">
      <c r="A134" s="26"/>
      <c r="B134" s="26"/>
      <c r="C134" s="30"/>
      <c r="D134" s="35" t="s">
        <v>53</v>
      </c>
      <c r="E134" s="36">
        <v>1</v>
      </c>
      <c r="F134" s="37">
        <v>25</v>
      </c>
      <c r="G134" s="35">
        <v>4.5</v>
      </c>
      <c r="H134" s="40">
        <v>2</v>
      </c>
      <c r="I134" s="38" t="s">
        <v>581</v>
      </c>
      <c r="J134" s="34">
        <f>IFERROR(_xlfn.XLOOKUP(I134,Index!$A:$A,Index!$B:$B),"")</f>
        <v>257.5</v>
      </c>
    </row>
    <row r="135" spans="1:10" s="1" customFormat="1" ht="12.75" customHeight="1" x14ac:dyDescent="0.2">
      <c r="A135" s="26"/>
      <c r="B135" s="26"/>
      <c r="C135" s="30"/>
      <c r="D135" s="35" t="s">
        <v>55</v>
      </c>
      <c r="E135" s="36">
        <v>1</v>
      </c>
      <c r="F135" s="37">
        <v>25</v>
      </c>
      <c r="G135" s="35">
        <v>4.5</v>
      </c>
      <c r="H135" s="40">
        <v>2</v>
      </c>
      <c r="I135" s="38" t="s">
        <v>582</v>
      </c>
      <c r="J135" s="34">
        <f>IFERROR(_xlfn.XLOOKUP(I135,Index!$A:$A,Index!$B:$B),"")</f>
        <v>257.5</v>
      </c>
    </row>
    <row r="136" spans="1:10" s="1" customFormat="1" ht="12.75" customHeight="1" x14ac:dyDescent="0.2">
      <c r="A136" s="26"/>
      <c r="B136" s="26"/>
      <c r="C136" s="30"/>
      <c r="D136" s="35" t="s">
        <v>51</v>
      </c>
      <c r="E136" s="64">
        <v>1.25</v>
      </c>
      <c r="F136" s="37">
        <v>32</v>
      </c>
      <c r="G136" s="35">
        <v>6</v>
      </c>
      <c r="H136" s="40">
        <v>2.7</v>
      </c>
      <c r="I136" s="38" t="s">
        <v>583</v>
      </c>
      <c r="J136" s="34">
        <f>IFERROR(_xlfn.XLOOKUP(I136,Index!$A:$A,Index!$B:$B),"")</f>
        <v>377</v>
      </c>
    </row>
    <row r="137" spans="1:10" s="1" customFormat="1" ht="12.75" customHeight="1" x14ac:dyDescent="0.2">
      <c r="A137" s="26"/>
      <c r="B137" s="26"/>
      <c r="C137" s="30"/>
      <c r="D137" s="35" t="s">
        <v>53</v>
      </c>
      <c r="E137" s="64">
        <v>1.25</v>
      </c>
      <c r="F137" s="37">
        <v>32</v>
      </c>
      <c r="G137" s="35">
        <v>6</v>
      </c>
      <c r="H137" s="40">
        <v>2.7</v>
      </c>
      <c r="I137" s="38" t="s">
        <v>584</v>
      </c>
      <c r="J137" s="34">
        <f>IFERROR(_xlfn.XLOOKUP(I137,Index!$A:$A,Index!$B:$B),"")</f>
        <v>396</v>
      </c>
    </row>
    <row r="138" spans="1:10" s="1" customFormat="1" ht="12.75" customHeight="1" x14ac:dyDescent="0.2">
      <c r="A138" s="26"/>
      <c r="B138" s="26"/>
      <c r="C138" s="30"/>
      <c r="D138" s="35" t="s">
        <v>55</v>
      </c>
      <c r="E138" s="64">
        <v>1.25</v>
      </c>
      <c r="F138" s="37">
        <v>32</v>
      </c>
      <c r="G138" s="35">
        <v>6</v>
      </c>
      <c r="H138" s="40">
        <v>2.7</v>
      </c>
      <c r="I138" s="38" t="s">
        <v>5542</v>
      </c>
      <c r="J138" s="34">
        <f>J137</f>
        <v>396</v>
      </c>
    </row>
    <row r="139" spans="1:10" s="1" customFormat="1" ht="12.75" customHeight="1" x14ac:dyDescent="0.2">
      <c r="A139" s="26"/>
      <c r="B139" s="26"/>
      <c r="C139" s="30"/>
      <c r="D139" s="35" t="s">
        <v>51</v>
      </c>
      <c r="E139" s="64">
        <v>1.5</v>
      </c>
      <c r="F139" s="37">
        <v>40</v>
      </c>
      <c r="G139" s="35">
        <v>8</v>
      </c>
      <c r="H139" s="40">
        <v>3.6</v>
      </c>
      <c r="I139" s="38" t="s">
        <v>585</v>
      </c>
      <c r="J139" s="34">
        <f>IFERROR(_xlfn.XLOOKUP(I139,Index!$A:$A,Index!$B:$B),"")</f>
        <v>488</v>
      </c>
    </row>
    <row r="140" spans="1:10" s="1" customFormat="1" ht="12.75" customHeight="1" x14ac:dyDescent="0.2">
      <c r="A140" s="26"/>
      <c r="B140" s="26"/>
      <c r="C140" s="30"/>
      <c r="D140" s="35" t="s">
        <v>53</v>
      </c>
      <c r="E140" s="64">
        <v>1.5</v>
      </c>
      <c r="F140" s="37">
        <v>40</v>
      </c>
      <c r="G140" s="35">
        <v>8</v>
      </c>
      <c r="H140" s="40">
        <v>3.6</v>
      </c>
      <c r="I140" s="38" t="s">
        <v>5542</v>
      </c>
      <c r="J140" s="34">
        <f>J141</f>
        <v>512</v>
      </c>
    </row>
    <row r="141" spans="1:10" s="1" customFormat="1" ht="12.75" customHeight="1" x14ac:dyDescent="0.2">
      <c r="A141" s="26"/>
      <c r="B141" s="26"/>
      <c r="C141" s="30"/>
      <c r="D141" s="35" t="s">
        <v>55</v>
      </c>
      <c r="E141" s="64">
        <v>1.5</v>
      </c>
      <c r="F141" s="37">
        <v>40</v>
      </c>
      <c r="G141" s="35">
        <v>8</v>
      </c>
      <c r="H141" s="40">
        <v>3.6</v>
      </c>
      <c r="I141" s="38" t="s">
        <v>587</v>
      </c>
      <c r="J141" s="34">
        <f>IFERROR(_xlfn.XLOOKUP(I141,Index!$A:$A,Index!$B:$B),"")</f>
        <v>512</v>
      </c>
    </row>
    <row r="142" spans="1:10" s="1" customFormat="1" ht="12.75" customHeight="1" x14ac:dyDescent="0.2">
      <c r="A142" s="26"/>
      <c r="B142" s="26"/>
      <c r="C142" s="30"/>
      <c r="D142" s="35" t="s">
        <v>51</v>
      </c>
      <c r="E142" s="36">
        <v>2</v>
      </c>
      <c r="F142" s="37">
        <v>50</v>
      </c>
      <c r="G142" s="35">
        <v>16</v>
      </c>
      <c r="H142" s="40">
        <v>7.3</v>
      </c>
      <c r="I142" s="38" t="s">
        <v>588</v>
      </c>
      <c r="J142" s="34">
        <f>IFERROR(_xlfn.XLOOKUP(I142,Index!$A:$A,Index!$B:$B),"")</f>
        <v>778</v>
      </c>
    </row>
    <row r="143" spans="1:10" s="1" customFormat="1" ht="12.75" customHeight="1" x14ac:dyDescent="0.2">
      <c r="A143" s="26"/>
      <c r="B143" s="26"/>
      <c r="C143" s="30"/>
      <c r="D143" s="35" t="s">
        <v>53</v>
      </c>
      <c r="E143" s="36">
        <v>2</v>
      </c>
      <c r="F143" s="37">
        <v>50</v>
      </c>
      <c r="G143" s="35">
        <v>16</v>
      </c>
      <c r="H143" s="40">
        <v>7.3</v>
      </c>
      <c r="I143" s="38" t="s">
        <v>589</v>
      </c>
      <c r="J143" s="34">
        <f>IFERROR(_xlfn.XLOOKUP(I143,Index!$A:$A,Index!$B:$B),"")</f>
        <v>816.5</v>
      </c>
    </row>
    <row r="144" spans="1:10" s="1" customFormat="1" ht="12.75" customHeight="1" x14ac:dyDescent="0.2">
      <c r="A144" s="26"/>
      <c r="B144" s="26"/>
      <c r="C144" s="26"/>
      <c r="D144" s="35" t="s">
        <v>55</v>
      </c>
      <c r="E144" s="36">
        <v>2</v>
      </c>
      <c r="F144" s="37">
        <v>50</v>
      </c>
      <c r="G144" s="35">
        <v>16</v>
      </c>
      <c r="H144" s="40">
        <v>7.3</v>
      </c>
      <c r="I144" s="38" t="s">
        <v>590</v>
      </c>
      <c r="J144" s="34">
        <f>IFERROR(_xlfn.XLOOKUP(I144,Index!$A:$A,Index!$B:$B),"")</f>
        <v>816.5</v>
      </c>
    </row>
    <row r="145" spans="1:14" s="1" customFormat="1" ht="12.75" customHeight="1" x14ac:dyDescent="0.2">
      <c r="A145" s="26"/>
      <c r="B145" s="26"/>
      <c r="C145" s="26"/>
      <c r="D145" s="35" t="s">
        <v>508</v>
      </c>
      <c r="E145" s="64">
        <v>2.5</v>
      </c>
      <c r="F145" s="37">
        <v>65</v>
      </c>
      <c r="G145" s="35">
        <v>34</v>
      </c>
      <c r="H145" s="40">
        <v>15.4</v>
      </c>
      <c r="I145" s="38" t="s">
        <v>591</v>
      </c>
      <c r="J145" s="34">
        <f>IFERROR(_xlfn.XLOOKUP(I145,Index!$A:$A,Index!$B:$B),"")</f>
        <v>1144</v>
      </c>
    </row>
    <row r="146" spans="1:14" s="1" customFormat="1" ht="12.75" customHeight="1" x14ac:dyDescent="0.2">
      <c r="A146" s="26"/>
      <c r="B146" s="26"/>
      <c r="C146" s="26"/>
      <c r="D146" s="35" t="s">
        <v>53</v>
      </c>
      <c r="E146" s="64">
        <v>2.5</v>
      </c>
      <c r="F146" s="37">
        <v>65</v>
      </c>
      <c r="G146" s="35">
        <v>34</v>
      </c>
      <c r="H146" s="40">
        <v>15.4</v>
      </c>
      <c r="I146" s="38" t="s">
        <v>592</v>
      </c>
      <c r="J146" s="34">
        <f>IFERROR(_xlfn.XLOOKUP(I146,Index!$A:$A,Index!$B:$B),"")</f>
        <v>1872</v>
      </c>
    </row>
    <row r="147" spans="1:14" s="1" customFormat="1" ht="12.75" customHeight="1" x14ac:dyDescent="0.2">
      <c r="A147" s="26"/>
      <c r="B147" s="26"/>
      <c r="C147" s="26"/>
      <c r="D147" s="35" t="s">
        <v>55</v>
      </c>
      <c r="E147" s="64">
        <v>2.5</v>
      </c>
      <c r="F147" s="37">
        <v>65</v>
      </c>
      <c r="G147" s="35">
        <v>34</v>
      </c>
      <c r="H147" s="40">
        <v>15.4</v>
      </c>
      <c r="I147" s="38" t="s">
        <v>5542</v>
      </c>
      <c r="J147" s="34">
        <f>J146</f>
        <v>1872</v>
      </c>
    </row>
    <row r="148" spans="1:14" s="1" customFormat="1" ht="12.75" customHeight="1" x14ac:dyDescent="0.2">
      <c r="A148" s="26"/>
      <c r="B148" s="26"/>
      <c r="C148" s="26"/>
      <c r="D148" s="35" t="s">
        <v>508</v>
      </c>
      <c r="E148" s="36">
        <v>3</v>
      </c>
      <c r="F148" s="37">
        <v>80</v>
      </c>
      <c r="G148" s="35">
        <v>34</v>
      </c>
      <c r="H148" s="40">
        <v>15.4</v>
      </c>
      <c r="I148" s="38" t="s">
        <v>594</v>
      </c>
      <c r="J148" s="34">
        <f>IFERROR(_xlfn.XLOOKUP(I148,Index!$A:$A,Index!$B:$B),"")</f>
        <v>3139</v>
      </c>
    </row>
    <row r="149" spans="1:14" s="1" customFormat="1" ht="12.75" customHeight="1" x14ac:dyDescent="0.2">
      <c r="A149" s="26"/>
      <c r="B149" s="26"/>
      <c r="C149" s="26"/>
      <c r="D149" s="35" t="s">
        <v>53</v>
      </c>
      <c r="E149" s="36">
        <v>3</v>
      </c>
      <c r="F149" s="37">
        <v>80</v>
      </c>
      <c r="G149" s="35">
        <v>34</v>
      </c>
      <c r="H149" s="40">
        <v>15.4</v>
      </c>
      <c r="I149" s="38" t="s">
        <v>595</v>
      </c>
      <c r="J149" s="34">
        <f>IFERROR(_xlfn.XLOOKUP(I149,Index!$A:$A,Index!$B:$B),"")</f>
        <v>3295</v>
      </c>
    </row>
    <row r="150" spans="1:14" s="1" customFormat="1" ht="12.75" customHeight="1" x14ac:dyDescent="0.2">
      <c r="A150" s="27"/>
      <c r="B150" s="27"/>
      <c r="C150" s="27"/>
      <c r="D150" s="35" t="s">
        <v>55</v>
      </c>
      <c r="E150" s="36">
        <v>3</v>
      </c>
      <c r="F150" s="37">
        <v>80</v>
      </c>
      <c r="G150" s="35">
        <v>34</v>
      </c>
      <c r="H150" s="40">
        <v>15.4</v>
      </c>
      <c r="I150" s="38" t="s">
        <v>596</v>
      </c>
      <c r="J150" s="34">
        <f>IFERROR(_xlfn.XLOOKUP(I150,Index!$A:$A,Index!$B:$B),"")</f>
        <v>3295</v>
      </c>
    </row>
    <row r="151" spans="1:14" s="1" customFormat="1" ht="12.75" customHeight="1" x14ac:dyDescent="0.2">
      <c r="A151" s="12"/>
      <c r="B151" s="12"/>
      <c r="C151" s="4"/>
      <c r="D151" s="4"/>
      <c r="E151" s="5"/>
      <c r="F151" s="21"/>
      <c r="G151" s="4"/>
      <c r="H151" s="19"/>
      <c r="I151" s="19"/>
      <c r="J151" s="20"/>
    </row>
    <row r="152" spans="1:14" s="1" customFormat="1" ht="12.75" customHeight="1" x14ac:dyDescent="0.2">
      <c r="A152" s="12"/>
      <c r="B152" s="12"/>
      <c r="C152" s="4"/>
      <c r="D152" s="4"/>
      <c r="E152" s="5"/>
      <c r="F152" s="13"/>
      <c r="G152" s="4"/>
      <c r="H152" s="19"/>
      <c r="I152" s="19"/>
      <c r="J152" s="20"/>
    </row>
    <row r="153" spans="1:14" s="264" customFormat="1" ht="15.75" x14ac:dyDescent="0.2">
      <c r="A153" s="217" t="s">
        <v>5549</v>
      </c>
      <c r="B153" s="68" t="s">
        <v>33</v>
      </c>
      <c r="C153" s="267"/>
      <c r="D153" s="258"/>
      <c r="E153" s="259"/>
      <c r="F153" s="260"/>
      <c r="G153" s="261"/>
      <c r="H153" s="262"/>
      <c r="I153" s="262"/>
      <c r="J153" s="263"/>
    </row>
    <row r="154" spans="1:14" s="1" customFormat="1" ht="15.75" x14ac:dyDescent="0.2">
      <c r="A154" s="48" t="s">
        <v>516</v>
      </c>
      <c r="B154" s="57"/>
      <c r="C154" s="58"/>
      <c r="D154" s="58"/>
      <c r="E154" s="59"/>
      <c r="F154" s="51"/>
      <c r="G154" s="58"/>
      <c r="H154" s="53"/>
      <c r="I154" s="53"/>
      <c r="J154" s="54"/>
    </row>
    <row r="155" spans="1:14" s="1" customFormat="1" ht="12.75" customHeight="1" x14ac:dyDescent="0.2">
      <c r="A155" s="25" t="s">
        <v>35</v>
      </c>
      <c r="B155" s="28" t="s">
        <v>36</v>
      </c>
      <c r="C155" s="333" t="s">
        <v>37</v>
      </c>
      <c r="D155" s="334"/>
      <c r="E155" s="335" t="s">
        <v>38</v>
      </c>
      <c r="F155" s="336"/>
      <c r="G155" s="335" t="s">
        <v>39</v>
      </c>
      <c r="H155" s="336"/>
      <c r="I155" s="42" t="s">
        <v>40</v>
      </c>
      <c r="J155" s="43" t="s">
        <v>41</v>
      </c>
    </row>
    <row r="156" spans="1:14" s="1" customFormat="1" ht="12.75" customHeight="1" x14ac:dyDescent="0.2">
      <c r="A156" s="32"/>
      <c r="B156" s="32"/>
      <c r="C156" s="33" t="s">
        <v>42</v>
      </c>
      <c r="D156" s="33" t="s">
        <v>43</v>
      </c>
      <c r="E156" s="33" t="s">
        <v>44</v>
      </c>
      <c r="F156" s="33" t="s">
        <v>45</v>
      </c>
      <c r="G156" s="33" t="s">
        <v>46</v>
      </c>
      <c r="H156" s="33" t="s">
        <v>47</v>
      </c>
      <c r="I156" s="33"/>
      <c r="J156" s="44"/>
    </row>
    <row r="157" spans="1:14" s="1" customFormat="1" ht="12.75" customHeight="1" x14ac:dyDescent="0.2">
      <c r="A157" s="26" t="s">
        <v>597</v>
      </c>
      <c r="B157" s="26" t="s">
        <v>49</v>
      </c>
      <c r="C157" s="30" t="s">
        <v>50</v>
      </c>
      <c r="D157" s="35" t="s">
        <v>51</v>
      </c>
      <c r="E157" s="64">
        <v>0.375</v>
      </c>
      <c r="F157" s="45">
        <v>10</v>
      </c>
      <c r="G157" s="35">
        <v>1.1299999999999999</v>
      </c>
      <c r="H157" s="40">
        <v>0.5</v>
      </c>
      <c r="I157" s="38" t="s">
        <v>598</v>
      </c>
      <c r="J157" s="34">
        <f>IFERROR(_xlfn.XLOOKUP(I157,Index!$A:$A,Index!$B:$B),"")</f>
        <v>78.75</v>
      </c>
    </row>
    <row r="158" spans="1:14" s="55" customFormat="1" ht="14.25" x14ac:dyDescent="0.2">
      <c r="A158" s="26"/>
      <c r="B158" s="26"/>
      <c r="C158" s="30"/>
      <c r="D158" s="35" t="s">
        <v>51</v>
      </c>
      <c r="E158" s="64">
        <v>0.5</v>
      </c>
      <c r="F158" s="45">
        <v>15</v>
      </c>
      <c r="G158" s="35">
        <v>1.1299999999999999</v>
      </c>
      <c r="H158" s="40">
        <v>0.5</v>
      </c>
      <c r="I158" s="38" t="s">
        <v>599</v>
      </c>
      <c r="J158" s="34">
        <f>IFERROR(_xlfn.XLOOKUP(I158,Index!$A:$A,Index!$B:$B),"")</f>
        <v>78.75</v>
      </c>
      <c r="K158" s="1"/>
      <c r="L158" s="1"/>
      <c r="M158" s="1"/>
      <c r="N158" s="1"/>
    </row>
    <row r="159" spans="1:14" s="55" customFormat="1" ht="14.25" x14ac:dyDescent="0.2">
      <c r="A159" s="26"/>
      <c r="B159" s="26"/>
      <c r="C159" s="30"/>
      <c r="D159" s="35" t="s">
        <v>51</v>
      </c>
      <c r="E159" s="64">
        <v>0.75</v>
      </c>
      <c r="F159" s="45">
        <v>20</v>
      </c>
      <c r="G159" s="35">
        <v>1.75</v>
      </c>
      <c r="H159" s="40">
        <v>0.8</v>
      </c>
      <c r="I159" s="38" t="s">
        <v>600</v>
      </c>
      <c r="J159" s="34">
        <f>IFERROR(_xlfn.XLOOKUP(I159,Index!$A:$A,Index!$B:$B),"")</f>
        <v>114.5</v>
      </c>
      <c r="K159" s="1"/>
      <c r="L159" s="1"/>
      <c r="M159" s="1"/>
      <c r="N159" s="1"/>
    </row>
    <row r="160" spans="1:14" s="1" customFormat="1" ht="12.75" customHeight="1" x14ac:dyDescent="0.2">
      <c r="A160" s="26"/>
      <c r="B160" s="26"/>
      <c r="C160" s="30"/>
      <c r="D160" s="35" t="s">
        <v>51</v>
      </c>
      <c r="E160" s="64">
        <v>1</v>
      </c>
      <c r="F160" s="45">
        <v>25</v>
      </c>
      <c r="G160" s="35">
        <v>2.75</v>
      </c>
      <c r="H160" s="40">
        <v>1.2</v>
      </c>
      <c r="I160" s="38" t="s">
        <v>601</v>
      </c>
      <c r="J160" s="34">
        <f>IFERROR(_xlfn.XLOOKUP(I160,Index!$A:$A,Index!$B:$B),"")</f>
        <v>158.5</v>
      </c>
    </row>
    <row r="161" spans="1:10" s="1" customFormat="1" ht="12.75" customHeight="1" x14ac:dyDescent="0.2">
      <c r="A161" s="26"/>
      <c r="B161" s="26"/>
      <c r="C161" s="30"/>
      <c r="D161" s="35" t="s">
        <v>51</v>
      </c>
      <c r="E161" s="64">
        <v>1.25</v>
      </c>
      <c r="F161" s="45">
        <v>32</v>
      </c>
      <c r="G161" s="35">
        <v>4.5</v>
      </c>
      <c r="H161" s="40">
        <v>2</v>
      </c>
      <c r="I161" s="38" t="s">
        <v>602</v>
      </c>
      <c r="J161" s="34">
        <f>IFERROR(_xlfn.XLOOKUP(I161,Index!$A:$A,Index!$B:$B),"")</f>
        <v>242.5</v>
      </c>
    </row>
    <row r="162" spans="1:10" s="1" customFormat="1" ht="12.75" customHeight="1" x14ac:dyDescent="0.2">
      <c r="A162" s="26"/>
      <c r="B162" s="26"/>
      <c r="C162" s="30"/>
      <c r="D162" s="35" t="s">
        <v>51</v>
      </c>
      <c r="E162" s="64">
        <v>1.5</v>
      </c>
      <c r="F162" s="45">
        <v>40</v>
      </c>
      <c r="G162" s="35">
        <v>6</v>
      </c>
      <c r="H162" s="40">
        <v>2.7</v>
      </c>
      <c r="I162" s="38" t="s">
        <v>603</v>
      </c>
      <c r="J162" s="34">
        <f>IFERROR(_xlfn.XLOOKUP(I162,Index!$A:$A,Index!$B:$B),"")</f>
        <v>313.5</v>
      </c>
    </row>
    <row r="163" spans="1:10" s="1" customFormat="1" ht="12.75" customHeight="1" x14ac:dyDescent="0.2">
      <c r="A163" s="26"/>
      <c r="B163" s="26"/>
      <c r="C163" s="30"/>
      <c r="D163" s="35" t="s">
        <v>51</v>
      </c>
      <c r="E163" s="64">
        <v>2</v>
      </c>
      <c r="F163" s="45">
        <v>50</v>
      </c>
      <c r="G163" s="35">
        <v>8</v>
      </c>
      <c r="H163" s="40">
        <v>3.6</v>
      </c>
      <c r="I163" s="38" t="s">
        <v>604</v>
      </c>
      <c r="J163" s="34">
        <f>IFERROR(_xlfn.XLOOKUP(I163,Index!$A:$A,Index!$B:$B),"")</f>
        <v>499.5</v>
      </c>
    </row>
    <row r="164" spans="1:10" s="1" customFormat="1" ht="12.75" customHeight="1" x14ac:dyDescent="0.2">
      <c r="A164" s="26"/>
      <c r="B164" s="26"/>
      <c r="C164" s="30"/>
      <c r="D164" s="35" t="s">
        <v>508</v>
      </c>
      <c r="E164" s="64">
        <v>2.5</v>
      </c>
      <c r="F164" s="45">
        <v>65</v>
      </c>
      <c r="G164" s="35">
        <v>16</v>
      </c>
      <c r="H164" s="40">
        <v>7.3</v>
      </c>
      <c r="I164" s="38" t="s">
        <v>591</v>
      </c>
      <c r="J164" s="34">
        <f>IFERROR(_xlfn.XLOOKUP(I164,Index!$A:$A,Index!$B:$B),"")</f>
        <v>1144</v>
      </c>
    </row>
    <row r="165" spans="1:10" s="1" customFormat="1" ht="12.75" customHeight="1" x14ac:dyDescent="0.2">
      <c r="A165" s="27"/>
      <c r="B165" s="27"/>
      <c r="C165" s="31"/>
      <c r="D165" s="35" t="s">
        <v>508</v>
      </c>
      <c r="E165" s="64">
        <v>3</v>
      </c>
      <c r="F165" s="45">
        <v>80</v>
      </c>
      <c r="G165" s="35">
        <v>34</v>
      </c>
      <c r="H165" s="40">
        <v>15.4</v>
      </c>
      <c r="I165" s="38" t="s">
        <v>605</v>
      </c>
      <c r="J165" s="34">
        <f>IFERROR(_xlfn.XLOOKUP(I165,Index!$A:$A,Index!$B:$B),"")</f>
        <v>2014</v>
      </c>
    </row>
    <row r="166" spans="1:10" s="1" customFormat="1" ht="12.75" customHeight="1" x14ac:dyDescent="0.2">
      <c r="A166" s="12"/>
      <c r="B166" s="12"/>
      <c r="C166" s="4"/>
      <c r="D166" s="4"/>
      <c r="E166" s="5"/>
      <c r="F166" s="13"/>
      <c r="G166" s="4"/>
      <c r="H166" s="19"/>
      <c r="I166" s="19"/>
      <c r="J166" s="20"/>
    </row>
    <row r="167" spans="1:10" s="1" customFormat="1" ht="12.75" customHeight="1" x14ac:dyDescent="0.2">
      <c r="A167" s="12"/>
      <c r="B167" s="12"/>
      <c r="C167" s="4"/>
      <c r="D167" s="4"/>
      <c r="E167" s="5"/>
      <c r="F167" s="13"/>
      <c r="G167" s="4"/>
      <c r="H167" s="19"/>
      <c r="I167" s="19"/>
      <c r="J167" s="20"/>
    </row>
    <row r="168" spans="1:10" s="264" customFormat="1" ht="15.75" x14ac:dyDescent="0.2">
      <c r="A168" s="217" t="s">
        <v>8</v>
      </c>
      <c r="B168" s="47"/>
      <c r="C168" s="47"/>
      <c r="D168" s="258"/>
      <c r="E168" s="259"/>
      <c r="F168" s="260"/>
      <c r="G168" s="261"/>
      <c r="H168" s="262"/>
      <c r="I168" s="262"/>
      <c r="J168" s="263"/>
    </row>
    <row r="169" spans="1:10" s="264" customFormat="1" ht="15.75" x14ac:dyDescent="0.2">
      <c r="A169" s="48" t="s">
        <v>102</v>
      </c>
      <c r="B169" s="217"/>
      <c r="C169" s="265"/>
      <c r="D169" s="265"/>
      <c r="E169" s="266"/>
      <c r="F169" s="260"/>
      <c r="G169" s="265"/>
      <c r="H169" s="262"/>
      <c r="I169" s="262"/>
      <c r="J169" s="263"/>
    </row>
    <row r="170" spans="1:10" s="1" customFormat="1" ht="12.75" customHeight="1" x14ac:dyDescent="0.2">
      <c r="A170" s="25" t="s">
        <v>35</v>
      </c>
      <c r="B170" s="28" t="s">
        <v>103</v>
      </c>
      <c r="C170" s="335" t="s">
        <v>38</v>
      </c>
      <c r="D170" s="336"/>
      <c r="E170" s="42" t="s">
        <v>40</v>
      </c>
      <c r="F170" s="43" t="s">
        <v>41</v>
      </c>
    </row>
    <row r="171" spans="1:10" s="1" customFormat="1" ht="12.75" customHeight="1" x14ac:dyDescent="0.2">
      <c r="A171" s="32"/>
      <c r="B171" s="32"/>
      <c r="C171" s="33" t="s">
        <v>44</v>
      </c>
      <c r="D171" s="33" t="s">
        <v>45</v>
      </c>
      <c r="E171" s="33"/>
      <c r="F171" s="44"/>
    </row>
    <row r="172" spans="1:10" s="1" customFormat="1" ht="12.75" customHeight="1" x14ac:dyDescent="0.2">
      <c r="A172" s="60" t="s">
        <v>606</v>
      </c>
      <c r="B172" s="60" t="s">
        <v>104</v>
      </c>
      <c r="C172" s="65">
        <v>0.375</v>
      </c>
      <c r="D172" s="35">
        <v>10</v>
      </c>
      <c r="E172" s="35" t="s">
        <v>105</v>
      </c>
      <c r="F172" s="34">
        <f>IFERROR(_xlfn.XLOOKUP(E172,Index!$A:$A,Index!$B:$B),"")</f>
        <v>2.75</v>
      </c>
    </row>
    <row r="173" spans="1:10" s="55" customFormat="1" ht="14.25" x14ac:dyDescent="0.2">
      <c r="A173" s="26"/>
      <c r="B173" s="26"/>
      <c r="C173" s="65">
        <v>0.5</v>
      </c>
      <c r="D173" s="35">
        <v>15</v>
      </c>
      <c r="E173" s="35" t="s">
        <v>105</v>
      </c>
      <c r="F173" s="34">
        <f>IFERROR(_xlfn.XLOOKUP(E173,Index!$A:$A,Index!$B:$B),"")</f>
        <v>2.75</v>
      </c>
      <c r="G173" s="1"/>
      <c r="H173" s="1"/>
      <c r="I173" s="1"/>
      <c r="J173" s="1"/>
    </row>
    <row r="174" spans="1:10" s="55" customFormat="1" ht="14.25" x14ac:dyDescent="0.2">
      <c r="A174" s="26"/>
      <c r="B174" s="26"/>
      <c r="C174" s="65">
        <v>0.75</v>
      </c>
      <c r="D174" s="35">
        <v>20</v>
      </c>
      <c r="E174" s="35" t="s">
        <v>106</v>
      </c>
      <c r="F174" s="34">
        <f>IFERROR(_xlfn.XLOOKUP(E174,Index!$A:$A,Index!$B:$B),"")</f>
        <v>6</v>
      </c>
      <c r="G174" s="1"/>
      <c r="H174" s="1"/>
      <c r="I174" s="1"/>
      <c r="J174" s="1"/>
    </row>
    <row r="175" spans="1:10" s="1" customFormat="1" ht="12.75" customHeight="1" x14ac:dyDescent="0.2">
      <c r="A175" s="26"/>
      <c r="B175" s="26"/>
      <c r="C175" s="65">
        <v>1</v>
      </c>
      <c r="D175" s="35">
        <v>25</v>
      </c>
      <c r="E175" s="35" t="s">
        <v>107</v>
      </c>
      <c r="F175" s="34">
        <f>IFERROR(_xlfn.XLOOKUP(E175,Index!$A:$A,Index!$B:$B),"")</f>
        <v>6</v>
      </c>
    </row>
    <row r="176" spans="1:10" s="1" customFormat="1" ht="12.75" customHeight="1" x14ac:dyDescent="0.2">
      <c r="A176" s="26"/>
      <c r="B176" s="26"/>
      <c r="C176" s="65">
        <v>1.25</v>
      </c>
      <c r="D176" s="35">
        <v>32</v>
      </c>
      <c r="E176" s="35" t="s">
        <v>108</v>
      </c>
      <c r="F176" s="34">
        <f>IFERROR(_xlfn.XLOOKUP(E176,Index!$A:$A,Index!$B:$B),"")</f>
        <v>7.75</v>
      </c>
    </row>
    <row r="177" spans="1:6" s="1" customFormat="1" ht="12.75" customHeight="1" x14ac:dyDescent="0.2">
      <c r="A177" s="26"/>
      <c r="B177" s="26"/>
      <c r="C177" s="65">
        <v>1.5</v>
      </c>
      <c r="D177" s="35">
        <v>40</v>
      </c>
      <c r="E177" s="35" t="s">
        <v>109</v>
      </c>
      <c r="F177" s="34">
        <f>IFERROR(_xlfn.XLOOKUP(E177,Index!$A:$A,Index!$B:$B),"")</f>
        <v>8.5</v>
      </c>
    </row>
    <row r="178" spans="1:6" s="1" customFormat="1" ht="12.75" customHeight="1" x14ac:dyDescent="0.2">
      <c r="A178" s="26"/>
      <c r="B178" s="26"/>
      <c r="C178" s="65">
        <v>2</v>
      </c>
      <c r="D178" s="35">
        <v>50</v>
      </c>
      <c r="E178" s="35" t="s">
        <v>528</v>
      </c>
      <c r="F178" s="34">
        <f>IFERROR(_xlfn.XLOOKUP(E178,Index!$A:$A,Index!$B:$B),"")</f>
        <v>9</v>
      </c>
    </row>
    <row r="179" spans="1:6" s="1" customFormat="1" ht="12.75" customHeight="1" x14ac:dyDescent="0.2">
      <c r="A179" s="26"/>
      <c r="B179" s="26"/>
      <c r="C179" s="65">
        <v>2.5</v>
      </c>
      <c r="D179" s="35">
        <v>65</v>
      </c>
      <c r="E179" s="35" t="s">
        <v>529</v>
      </c>
      <c r="F179" s="34">
        <f>IFERROR(_xlfn.XLOOKUP(E179,Index!$A:$A,Index!$B:$B),"")</f>
        <v>15.75</v>
      </c>
    </row>
    <row r="180" spans="1:6" s="1" customFormat="1" ht="12.75" customHeight="1" x14ac:dyDescent="0.2">
      <c r="A180" s="26"/>
      <c r="B180" s="26"/>
      <c r="C180" s="65">
        <v>3</v>
      </c>
      <c r="D180" s="35">
        <v>80</v>
      </c>
      <c r="E180" s="35" t="s">
        <v>281</v>
      </c>
      <c r="F180" s="34">
        <f>IFERROR(_xlfn.XLOOKUP(E180,Index!$A:$A,Index!$B:$B),"")</f>
        <v>12.25</v>
      </c>
    </row>
    <row r="181" spans="1:6" s="1" customFormat="1" ht="12.75" customHeight="1" x14ac:dyDescent="0.2">
      <c r="A181" s="26"/>
      <c r="B181" s="60" t="s">
        <v>530</v>
      </c>
      <c r="C181" s="65">
        <v>0.375</v>
      </c>
      <c r="D181" s="35">
        <v>10</v>
      </c>
      <c r="E181" s="38" t="s">
        <v>531</v>
      </c>
      <c r="F181" s="34">
        <f>IFERROR(_xlfn.XLOOKUP(E181,Index!$A:$A,Index!$B:$B),"")</f>
        <v>8.25</v>
      </c>
    </row>
    <row r="182" spans="1:6" s="1" customFormat="1" ht="12.75" customHeight="1" x14ac:dyDescent="0.2">
      <c r="A182" s="26"/>
      <c r="B182" s="26"/>
      <c r="C182" s="65">
        <v>0.5</v>
      </c>
      <c r="D182" s="35">
        <v>15</v>
      </c>
      <c r="E182" s="35" t="s">
        <v>531</v>
      </c>
      <c r="F182" s="34">
        <f>IFERROR(_xlfn.XLOOKUP(E182,Index!$A:$A,Index!$B:$B),"")</f>
        <v>8.25</v>
      </c>
    </row>
    <row r="183" spans="1:6" s="1" customFormat="1" ht="12.75" customHeight="1" x14ac:dyDescent="0.2">
      <c r="A183" s="26"/>
      <c r="B183" s="26"/>
      <c r="C183" s="65">
        <v>0.75</v>
      </c>
      <c r="D183" s="35">
        <v>20</v>
      </c>
      <c r="E183" s="35" t="s">
        <v>532</v>
      </c>
      <c r="F183" s="34">
        <f>IFERROR(_xlfn.XLOOKUP(E183,Index!$A:$A,Index!$B:$B),"")</f>
        <v>8.75</v>
      </c>
    </row>
    <row r="184" spans="1:6" s="1" customFormat="1" ht="12.75" customHeight="1" x14ac:dyDescent="0.2">
      <c r="A184" s="26"/>
      <c r="B184" s="26"/>
      <c r="C184" s="65">
        <v>1</v>
      </c>
      <c r="D184" s="35">
        <v>25</v>
      </c>
      <c r="E184" s="35" t="s">
        <v>533</v>
      </c>
      <c r="F184" s="34">
        <f>IFERROR(_xlfn.XLOOKUP(E184,Index!$A:$A,Index!$B:$B),"")</f>
        <v>8.75</v>
      </c>
    </row>
    <row r="185" spans="1:6" s="1" customFormat="1" ht="12.75" customHeight="1" x14ac:dyDescent="0.2">
      <c r="A185" s="26"/>
      <c r="B185" s="26"/>
      <c r="C185" s="65">
        <v>1.25</v>
      </c>
      <c r="D185" s="35">
        <v>32</v>
      </c>
      <c r="E185" s="35" t="s">
        <v>534</v>
      </c>
      <c r="F185" s="34">
        <f>IFERROR(_xlfn.XLOOKUP(E185,Index!$A:$A,Index!$B:$B),"")</f>
        <v>8.75</v>
      </c>
    </row>
    <row r="186" spans="1:6" s="1" customFormat="1" ht="12.75" customHeight="1" x14ac:dyDescent="0.2">
      <c r="A186" s="26"/>
      <c r="B186" s="26"/>
      <c r="C186" s="65">
        <v>1.5</v>
      </c>
      <c r="D186" s="35">
        <v>40</v>
      </c>
      <c r="E186" s="35" t="s">
        <v>535</v>
      </c>
      <c r="F186" s="34">
        <f>IFERROR(_xlfn.XLOOKUP(E186,Index!$A:$A,Index!$B:$B),"")</f>
        <v>13</v>
      </c>
    </row>
    <row r="187" spans="1:6" s="1" customFormat="1" ht="12.75" customHeight="1" x14ac:dyDescent="0.2">
      <c r="A187" s="26"/>
      <c r="B187" s="27"/>
      <c r="C187" s="65">
        <v>2</v>
      </c>
      <c r="D187" s="35">
        <v>50</v>
      </c>
      <c r="E187" s="35" t="s">
        <v>536</v>
      </c>
      <c r="F187" s="34">
        <f>IFERROR(_xlfn.XLOOKUP(E187,Index!$A:$A,Index!$B:$B),"")</f>
        <v>16.75</v>
      </c>
    </row>
    <row r="188" spans="1:6" s="1" customFormat="1" ht="12.75" customHeight="1" x14ac:dyDescent="0.2">
      <c r="A188" s="26"/>
      <c r="B188" s="26" t="s">
        <v>210</v>
      </c>
      <c r="C188" s="67">
        <v>2.5</v>
      </c>
      <c r="D188" s="35">
        <v>65</v>
      </c>
      <c r="E188" s="35" t="s">
        <v>537</v>
      </c>
      <c r="F188" s="34">
        <f>IFERROR(_xlfn.XLOOKUP(E188,Index!$A:$A,Index!$B:$B),"")</f>
        <v>59.25</v>
      </c>
    </row>
    <row r="189" spans="1:6" s="1" customFormat="1" ht="12.75" customHeight="1" x14ac:dyDescent="0.2">
      <c r="A189" s="66"/>
      <c r="B189" s="26"/>
      <c r="C189" s="65">
        <v>3</v>
      </c>
      <c r="D189" s="35">
        <v>80</v>
      </c>
      <c r="E189" s="35" t="s">
        <v>538</v>
      </c>
      <c r="F189" s="34">
        <f>IFERROR(_xlfn.XLOOKUP(E189,Index!$A:$A,Index!$B:$B),"")</f>
        <v>125</v>
      </c>
    </row>
    <row r="190" spans="1:6" s="1" customFormat="1" ht="12.75" customHeight="1" x14ac:dyDescent="0.2">
      <c r="A190" s="26"/>
      <c r="B190" s="60" t="s">
        <v>122</v>
      </c>
      <c r="C190" s="65">
        <v>0.375</v>
      </c>
      <c r="D190" s="35">
        <v>10</v>
      </c>
      <c r="E190" s="35" t="s">
        <v>539</v>
      </c>
      <c r="F190" s="34">
        <f>IFERROR(_xlfn.XLOOKUP(E190,Index!$A:$A,Index!$B:$B),"")</f>
        <v>63.5</v>
      </c>
    </row>
    <row r="191" spans="1:6" s="1" customFormat="1" ht="12.75" customHeight="1" x14ac:dyDescent="0.2">
      <c r="A191" s="26"/>
      <c r="B191" s="26"/>
      <c r="C191" s="65">
        <v>0.5</v>
      </c>
      <c r="D191" s="35">
        <v>15</v>
      </c>
      <c r="E191" s="35" t="s">
        <v>539</v>
      </c>
      <c r="F191" s="34">
        <f>IFERROR(_xlfn.XLOOKUP(E191,Index!$A:$A,Index!$B:$B),"")</f>
        <v>63.5</v>
      </c>
    </row>
    <row r="192" spans="1:6" s="1" customFormat="1" ht="12.75" customHeight="1" x14ac:dyDescent="0.2">
      <c r="A192" s="26"/>
      <c r="B192" s="26"/>
      <c r="C192" s="65">
        <v>0.75</v>
      </c>
      <c r="D192" s="35">
        <v>20</v>
      </c>
      <c r="E192" s="35" t="s">
        <v>540</v>
      </c>
      <c r="F192" s="34">
        <f>IFERROR(_xlfn.XLOOKUP(E192,Index!$A:$A,Index!$B:$B),"")</f>
        <v>63.5</v>
      </c>
    </row>
    <row r="193" spans="1:6" s="1" customFormat="1" ht="12.75" customHeight="1" x14ac:dyDescent="0.2">
      <c r="A193" s="26"/>
      <c r="B193" s="26"/>
      <c r="C193" s="65">
        <v>1</v>
      </c>
      <c r="D193" s="35">
        <v>25</v>
      </c>
      <c r="E193" s="35" t="s">
        <v>541</v>
      </c>
      <c r="F193" s="34">
        <f>IFERROR(_xlfn.XLOOKUP(E193,Index!$A:$A,Index!$B:$B),"")</f>
        <v>73.5</v>
      </c>
    </row>
    <row r="194" spans="1:6" s="1" customFormat="1" ht="12.75" customHeight="1" x14ac:dyDescent="0.2">
      <c r="A194" s="26"/>
      <c r="B194" s="26"/>
      <c r="C194" s="65">
        <v>1.25</v>
      </c>
      <c r="D194" s="35">
        <v>32</v>
      </c>
      <c r="E194" s="35" t="s">
        <v>542</v>
      </c>
      <c r="F194" s="34">
        <f>IFERROR(_xlfn.XLOOKUP(E194,Index!$A:$A,Index!$B:$B),"")</f>
        <v>80.5</v>
      </c>
    </row>
    <row r="195" spans="1:6" s="1" customFormat="1" ht="12.75" customHeight="1" x14ac:dyDescent="0.2">
      <c r="A195" s="26"/>
      <c r="B195" s="26"/>
      <c r="C195" s="65">
        <v>1.5</v>
      </c>
      <c r="D195" s="35">
        <v>40</v>
      </c>
      <c r="E195" s="35" t="s">
        <v>543</v>
      </c>
      <c r="F195" s="34">
        <f>IFERROR(_xlfn.XLOOKUP(E195,Index!$A:$A,Index!$B:$B),"")</f>
        <v>88.5</v>
      </c>
    </row>
    <row r="196" spans="1:6" s="1" customFormat="1" ht="12.75" customHeight="1" x14ac:dyDescent="0.2">
      <c r="A196" s="26"/>
      <c r="B196" s="26"/>
      <c r="C196" s="65">
        <v>2</v>
      </c>
      <c r="D196" s="35">
        <v>50</v>
      </c>
      <c r="E196" s="35" t="s">
        <v>544</v>
      </c>
      <c r="F196" s="34">
        <f>IFERROR(_xlfn.XLOOKUP(E196,Index!$A:$A,Index!$B:$B),"")</f>
        <v>88.5</v>
      </c>
    </row>
    <row r="197" spans="1:6" s="1" customFormat="1" ht="12.75" customHeight="1" x14ac:dyDescent="0.2">
      <c r="A197" s="26"/>
      <c r="B197" s="26"/>
      <c r="C197" s="65">
        <v>2.5</v>
      </c>
      <c r="D197" s="35">
        <v>65</v>
      </c>
      <c r="E197" s="35" t="s">
        <v>545</v>
      </c>
      <c r="F197" s="34">
        <f>IFERROR(_xlfn.XLOOKUP(E197,Index!$A:$A,Index!$B:$B),"")</f>
        <v>93.5</v>
      </c>
    </row>
    <row r="198" spans="1:6" s="1" customFormat="1" ht="12.75" customHeight="1" x14ac:dyDescent="0.2">
      <c r="A198" s="26"/>
      <c r="B198" s="26"/>
      <c r="C198" s="65">
        <v>3</v>
      </c>
      <c r="D198" s="35">
        <v>80</v>
      </c>
      <c r="E198" s="35" t="s">
        <v>546</v>
      </c>
      <c r="F198" s="34">
        <f>IFERROR(_xlfn.XLOOKUP(E198,Index!$A:$A,Index!$B:$B),"")</f>
        <v>125</v>
      </c>
    </row>
    <row r="199" spans="1:6" s="1" customFormat="1" ht="12.75" customHeight="1" x14ac:dyDescent="0.2">
      <c r="A199" s="26"/>
      <c r="B199" s="60" t="s">
        <v>134</v>
      </c>
      <c r="C199" s="65">
        <v>0.375</v>
      </c>
      <c r="D199" s="35">
        <v>10</v>
      </c>
      <c r="E199" s="35" t="s">
        <v>547</v>
      </c>
      <c r="F199" s="34">
        <f>IFERROR(_xlfn.XLOOKUP(E199,Index!$A:$A,Index!$B:$B),"")</f>
        <v>63.5</v>
      </c>
    </row>
    <row r="200" spans="1:6" s="1" customFormat="1" ht="12.75" customHeight="1" x14ac:dyDescent="0.2">
      <c r="A200" s="26"/>
      <c r="B200" s="26"/>
      <c r="C200" s="65">
        <v>0.5</v>
      </c>
      <c r="D200" s="35">
        <v>15</v>
      </c>
      <c r="E200" s="35" t="s">
        <v>547</v>
      </c>
      <c r="F200" s="34">
        <f>IFERROR(_xlfn.XLOOKUP(E200,Index!$A:$A,Index!$B:$B),"")</f>
        <v>63.5</v>
      </c>
    </row>
    <row r="201" spans="1:6" s="1" customFormat="1" ht="12.75" customHeight="1" x14ac:dyDescent="0.2">
      <c r="A201" s="26"/>
      <c r="B201" s="26"/>
      <c r="C201" s="65">
        <v>0.75</v>
      </c>
      <c r="D201" s="35">
        <v>20</v>
      </c>
      <c r="E201" s="35" t="s">
        <v>548</v>
      </c>
      <c r="F201" s="34">
        <f>IFERROR(_xlfn.XLOOKUP(E201,Index!$A:$A,Index!$B:$B),"")</f>
        <v>63.5</v>
      </c>
    </row>
    <row r="202" spans="1:6" s="1" customFormat="1" ht="12.75" customHeight="1" x14ac:dyDescent="0.2">
      <c r="A202" s="26"/>
      <c r="B202" s="26"/>
      <c r="C202" s="65">
        <v>1</v>
      </c>
      <c r="D202" s="35">
        <v>25</v>
      </c>
      <c r="E202" s="35" t="s">
        <v>549</v>
      </c>
      <c r="F202" s="34">
        <f>IFERROR(_xlfn.XLOOKUP(E202,Index!$A:$A,Index!$B:$B),"")</f>
        <v>73.5</v>
      </c>
    </row>
    <row r="203" spans="1:6" s="1" customFormat="1" ht="12.75" customHeight="1" x14ac:dyDescent="0.2">
      <c r="A203" s="26"/>
      <c r="B203" s="26"/>
      <c r="C203" s="65">
        <v>1.25</v>
      </c>
      <c r="D203" s="35">
        <v>32</v>
      </c>
      <c r="E203" s="35" t="s">
        <v>550</v>
      </c>
      <c r="F203" s="34">
        <f>IFERROR(_xlfn.XLOOKUP(E203,Index!$A:$A,Index!$B:$B),"")</f>
        <v>80.5</v>
      </c>
    </row>
    <row r="204" spans="1:6" s="1" customFormat="1" ht="12.75" customHeight="1" x14ac:dyDescent="0.2">
      <c r="A204" s="26"/>
      <c r="B204" s="26"/>
      <c r="C204" s="65">
        <v>1.5</v>
      </c>
      <c r="D204" s="35">
        <v>40</v>
      </c>
      <c r="E204" s="35" t="s">
        <v>551</v>
      </c>
      <c r="F204" s="34">
        <f>IFERROR(_xlfn.XLOOKUP(E204,Index!$A:$A,Index!$B:$B),"")</f>
        <v>88.5</v>
      </c>
    </row>
    <row r="205" spans="1:6" s="1" customFormat="1" ht="12.75" customHeight="1" x14ac:dyDescent="0.2">
      <c r="A205" s="26"/>
      <c r="B205" s="26"/>
      <c r="C205" s="65">
        <v>2</v>
      </c>
      <c r="D205" s="35">
        <v>50</v>
      </c>
      <c r="E205" s="35" t="s">
        <v>552</v>
      </c>
      <c r="F205" s="34">
        <f>IFERROR(_xlfn.XLOOKUP(E205,Index!$A:$A,Index!$B:$B),"")</f>
        <v>88.5</v>
      </c>
    </row>
    <row r="206" spans="1:6" s="1" customFormat="1" ht="12.75" customHeight="1" x14ac:dyDescent="0.2">
      <c r="A206" s="26"/>
      <c r="B206" s="26"/>
      <c r="C206" s="65">
        <v>2.5</v>
      </c>
      <c r="D206" s="35">
        <v>65</v>
      </c>
      <c r="E206" s="35" t="s">
        <v>553</v>
      </c>
      <c r="F206" s="34">
        <f>IFERROR(_xlfn.XLOOKUP(E206,Index!$A:$A,Index!$B:$B),"")</f>
        <v>93.5</v>
      </c>
    </row>
    <row r="207" spans="1:6" s="1" customFormat="1" ht="12.75" customHeight="1" x14ac:dyDescent="0.2">
      <c r="A207" s="26"/>
      <c r="B207" s="26"/>
      <c r="C207" s="221">
        <v>3</v>
      </c>
      <c r="D207" s="89">
        <v>80</v>
      </c>
      <c r="E207" s="89" t="s">
        <v>554</v>
      </c>
      <c r="F207" s="34">
        <f>IFERROR(_xlfn.XLOOKUP(E207,Index!$A:$A,Index!$B:$B),"")</f>
        <v>125</v>
      </c>
    </row>
    <row r="208" spans="1:6" s="1" customFormat="1" ht="12.75" customHeight="1" x14ac:dyDescent="0.2">
      <c r="A208" s="26"/>
      <c r="B208" s="60" t="s">
        <v>145</v>
      </c>
      <c r="C208" s="65">
        <v>0.375</v>
      </c>
      <c r="D208" s="35">
        <v>10</v>
      </c>
      <c r="E208" s="35" t="s">
        <v>555</v>
      </c>
      <c r="F208" s="34">
        <f>IFERROR(_xlfn.XLOOKUP(E208,Index!$A:$A,Index!$B:$B),"")</f>
        <v>57.5</v>
      </c>
    </row>
    <row r="209" spans="1:6" s="1" customFormat="1" ht="12.75" customHeight="1" x14ac:dyDescent="0.2">
      <c r="A209" s="26"/>
      <c r="B209" s="26"/>
      <c r="C209" s="65">
        <v>0.5</v>
      </c>
      <c r="D209" s="35">
        <v>15</v>
      </c>
      <c r="E209" s="35" t="s">
        <v>555</v>
      </c>
      <c r="F209" s="34">
        <f>IFERROR(_xlfn.XLOOKUP(E209,Index!$A:$A,Index!$B:$B),"")</f>
        <v>57.5</v>
      </c>
    </row>
    <row r="210" spans="1:6" s="1" customFormat="1" ht="12.75" customHeight="1" x14ac:dyDescent="0.2">
      <c r="A210" s="26"/>
      <c r="B210" s="26"/>
      <c r="C210" s="65">
        <v>0.75</v>
      </c>
      <c r="D210" s="35">
        <v>20</v>
      </c>
      <c r="E210" s="35" t="s">
        <v>556</v>
      </c>
      <c r="F210" s="34">
        <f>IFERROR(_xlfn.XLOOKUP(E210,Index!$A:$A,Index!$B:$B),"")</f>
        <v>63.5</v>
      </c>
    </row>
    <row r="211" spans="1:6" s="1" customFormat="1" ht="12.75" customHeight="1" x14ac:dyDescent="0.2">
      <c r="A211" s="26"/>
      <c r="B211" s="26"/>
      <c r="C211" s="65">
        <v>1</v>
      </c>
      <c r="D211" s="35">
        <v>25</v>
      </c>
      <c r="E211" s="35" t="s">
        <v>557</v>
      </c>
      <c r="F211" s="34">
        <f>IFERROR(_xlfn.XLOOKUP(E211,Index!$A:$A,Index!$B:$B),"")</f>
        <v>73.5</v>
      </c>
    </row>
    <row r="212" spans="1:6" s="1" customFormat="1" ht="12.75" customHeight="1" x14ac:dyDescent="0.2">
      <c r="A212" s="26"/>
      <c r="B212" s="26"/>
      <c r="C212" s="65">
        <v>1.25</v>
      </c>
      <c r="D212" s="35">
        <v>32</v>
      </c>
      <c r="E212" s="35" t="s">
        <v>2848</v>
      </c>
      <c r="F212" s="34">
        <f>IFERROR(_xlfn.XLOOKUP(E212,Index!$A:$A,Index!$B:$B),"")</f>
        <v>80.5</v>
      </c>
    </row>
    <row r="213" spans="1:6" s="1" customFormat="1" ht="12.75" customHeight="1" x14ac:dyDescent="0.2">
      <c r="A213" s="26"/>
      <c r="B213" s="26"/>
      <c r="C213" s="65">
        <v>1.5</v>
      </c>
      <c r="D213" s="35">
        <v>40</v>
      </c>
      <c r="E213" s="35" t="s">
        <v>2847</v>
      </c>
      <c r="F213" s="34">
        <f>IFERROR(_xlfn.XLOOKUP(E213,Index!$A:$A,Index!$B:$B),"")</f>
        <v>88.5</v>
      </c>
    </row>
    <row r="214" spans="1:6" s="1" customFormat="1" ht="12.75" customHeight="1" x14ac:dyDescent="0.2">
      <c r="A214" s="26"/>
      <c r="B214" s="26"/>
      <c r="C214" s="65">
        <v>2</v>
      </c>
      <c r="D214" s="35">
        <v>50</v>
      </c>
      <c r="E214" s="35" t="s">
        <v>558</v>
      </c>
      <c r="F214" s="34">
        <f>IFERROR(_xlfn.XLOOKUP(E214,Index!$A:$A,Index!$B:$B),"")</f>
        <v>88.5</v>
      </c>
    </row>
    <row r="215" spans="1:6" s="1" customFormat="1" ht="12.75" customHeight="1" x14ac:dyDescent="0.2">
      <c r="A215" s="26"/>
      <c r="B215" s="26"/>
      <c r="C215" s="65">
        <v>2.5</v>
      </c>
      <c r="D215" s="35">
        <v>65</v>
      </c>
      <c r="E215" s="35" t="s">
        <v>559</v>
      </c>
      <c r="F215" s="34">
        <f>IFERROR(_xlfn.XLOOKUP(E215,Index!$A:$A,Index!$B:$B),"")</f>
        <v>93.5</v>
      </c>
    </row>
    <row r="216" spans="1:6" s="1" customFormat="1" ht="12.75" customHeight="1" x14ac:dyDescent="0.2">
      <c r="A216" s="26"/>
      <c r="B216" s="27"/>
      <c r="C216" s="65">
        <v>3</v>
      </c>
      <c r="D216" s="35">
        <v>80</v>
      </c>
      <c r="E216" s="35" t="s">
        <v>560</v>
      </c>
      <c r="F216" s="34">
        <f>IFERROR(_xlfn.XLOOKUP(E216,Index!$A:$A,Index!$B:$B),"")</f>
        <v>125</v>
      </c>
    </row>
    <row r="217" spans="1:6" s="1" customFormat="1" ht="12.75" customHeight="1" x14ac:dyDescent="0.2">
      <c r="A217" s="26"/>
      <c r="B217" s="26" t="s">
        <v>155</v>
      </c>
      <c r="C217" s="222">
        <v>0.375</v>
      </c>
      <c r="D217" s="31">
        <v>10</v>
      </c>
      <c r="E217" s="31" t="s">
        <v>561</v>
      </c>
      <c r="F217" s="34">
        <f>IFERROR(_xlfn.XLOOKUP(E217,Index!$A:$A,Index!$B:$B),"")</f>
        <v>57.5</v>
      </c>
    </row>
    <row r="218" spans="1:6" s="1" customFormat="1" ht="12.75" customHeight="1" x14ac:dyDescent="0.2">
      <c r="A218" s="26"/>
      <c r="B218" s="26"/>
      <c r="C218" s="65">
        <v>0.5</v>
      </c>
      <c r="D218" s="35">
        <v>15</v>
      </c>
      <c r="E218" s="35" t="s">
        <v>561</v>
      </c>
      <c r="F218" s="34">
        <f>IFERROR(_xlfn.XLOOKUP(E218,Index!$A:$A,Index!$B:$B),"")</f>
        <v>57.5</v>
      </c>
    </row>
    <row r="219" spans="1:6" s="1" customFormat="1" ht="12.75" customHeight="1" x14ac:dyDescent="0.2">
      <c r="A219" s="26"/>
      <c r="B219" s="26"/>
      <c r="C219" s="65">
        <v>0.75</v>
      </c>
      <c r="D219" s="35">
        <v>20</v>
      </c>
      <c r="E219" s="35" t="s">
        <v>562</v>
      </c>
      <c r="F219" s="34">
        <f>IFERROR(_xlfn.XLOOKUP(E219,Index!$A:$A,Index!$B:$B),"")</f>
        <v>63.5</v>
      </c>
    </row>
    <row r="220" spans="1:6" s="1" customFormat="1" ht="12.75" customHeight="1" x14ac:dyDescent="0.2">
      <c r="A220" s="26"/>
      <c r="B220" s="26"/>
      <c r="C220" s="65">
        <v>1</v>
      </c>
      <c r="D220" s="35">
        <v>25</v>
      </c>
      <c r="E220" s="35" t="s">
        <v>563</v>
      </c>
      <c r="F220" s="34">
        <f>IFERROR(_xlfn.XLOOKUP(E220,Index!$A:$A,Index!$B:$B),"")</f>
        <v>73.5</v>
      </c>
    </row>
    <row r="221" spans="1:6" s="1" customFormat="1" ht="12.75" customHeight="1" x14ac:dyDescent="0.2">
      <c r="A221" s="26"/>
      <c r="B221" s="26"/>
      <c r="C221" s="65">
        <v>1.25</v>
      </c>
      <c r="D221" s="35">
        <v>32</v>
      </c>
      <c r="E221" s="35" t="s">
        <v>564</v>
      </c>
      <c r="F221" s="34">
        <f>IFERROR(_xlfn.XLOOKUP(E221,Index!$A:$A,Index!$B:$B),"")</f>
        <v>80.5</v>
      </c>
    </row>
    <row r="222" spans="1:6" s="1" customFormat="1" ht="12.75" customHeight="1" x14ac:dyDescent="0.2">
      <c r="A222" s="26"/>
      <c r="B222" s="26"/>
      <c r="C222" s="65">
        <v>1.5</v>
      </c>
      <c r="D222" s="35">
        <v>40</v>
      </c>
      <c r="E222" s="35" t="s">
        <v>565</v>
      </c>
      <c r="F222" s="34">
        <f>IFERROR(_xlfn.XLOOKUP(E222,Index!$A:$A,Index!$B:$B),"")</f>
        <v>88.5</v>
      </c>
    </row>
    <row r="223" spans="1:6" s="1" customFormat="1" ht="12.75" customHeight="1" x14ac:dyDescent="0.2">
      <c r="A223" s="26"/>
      <c r="B223" s="26"/>
      <c r="C223" s="65">
        <v>2</v>
      </c>
      <c r="D223" s="35">
        <v>50</v>
      </c>
      <c r="E223" s="35" t="s">
        <v>566</v>
      </c>
      <c r="F223" s="34">
        <f>IFERROR(_xlfn.XLOOKUP(E223,Index!$A:$A,Index!$B:$B),"")</f>
        <v>88.5</v>
      </c>
    </row>
    <row r="224" spans="1:6" s="1" customFormat="1" ht="12.75" customHeight="1" x14ac:dyDescent="0.2">
      <c r="A224" s="26"/>
      <c r="B224" s="26"/>
      <c r="C224" s="65">
        <v>2.5</v>
      </c>
      <c r="D224" s="35">
        <v>65</v>
      </c>
      <c r="E224" s="35" t="s">
        <v>567</v>
      </c>
      <c r="F224" s="34">
        <f>IFERROR(_xlfn.XLOOKUP(E224,Index!$A:$A,Index!$B:$B),"")</f>
        <v>93.5</v>
      </c>
    </row>
    <row r="225" spans="1:14" s="1" customFormat="1" ht="12.75" customHeight="1" x14ac:dyDescent="0.2">
      <c r="A225" s="27"/>
      <c r="B225" s="27"/>
      <c r="C225" s="65">
        <v>3</v>
      </c>
      <c r="D225" s="35">
        <v>80</v>
      </c>
      <c r="E225" s="35" t="s">
        <v>568</v>
      </c>
      <c r="F225" s="34">
        <f>IFERROR(_xlfn.XLOOKUP(E225,Index!$A:$A,Index!$B:$B),"")</f>
        <v>125</v>
      </c>
    </row>
    <row r="226" spans="1:14" x14ac:dyDescent="0.25">
      <c r="K226" s="1"/>
      <c r="L226" s="1"/>
      <c r="M226" s="1"/>
      <c r="N226" s="1"/>
    </row>
    <row r="227" spans="1:14" s="1" customFormat="1" ht="15.75" x14ac:dyDescent="0.2">
      <c r="A227" s="62" t="s">
        <v>607</v>
      </c>
      <c r="B227" s="62" t="s">
        <v>468</v>
      </c>
      <c r="C227" s="14"/>
      <c r="D227" s="3"/>
      <c r="E227" s="8"/>
      <c r="F227" s="9"/>
      <c r="G227" s="10"/>
      <c r="H227" s="19"/>
      <c r="I227" s="19"/>
      <c r="J227" s="20"/>
    </row>
    <row r="228" spans="1:14" s="1" customFormat="1" ht="15.75" x14ac:dyDescent="0.2">
      <c r="A228" s="48" t="s">
        <v>608</v>
      </c>
      <c r="B228" s="11"/>
      <c r="C228" s="4"/>
      <c r="D228" s="4"/>
      <c r="E228" s="5"/>
      <c r="F228" s="9"/>
      <c r="G228" s="4"/>
      <c r="H228" s="19"/>
      <c r="I228" s="19"/>
      <c r="J228" s="20"/>
    </row>
    <row r="229" spans="1:14" s="1" customFormat="1" ht="12.75" customHeight="1" x14ac:dyDescent="0.2">
      <c r="A229" s="25" t="s">
        <v>35</v>
      </c>
      <c r="B229" s="28" t="s">
        <v>36</v>
      </c>
      <c r="C229" s="29" t="s">
        <v>37</v>
      </c>
      <c r="D229" s="22"/>
      <c r="E229" s="22" t="s">
        <v>38</v>
      </c>
      <c r="F229" s="22"/>
      <c r="G229" s="23" t="s">
        <v>39</v>
      </c>
      <c r="H229" s="23"/>
      <c r="I229" s="42" t="s">
        <v>40</v>
      </c>
      <c r="J229" s="24" t="s">
        <v>41</v>
      </c>
    </row>
    <row r="230" spans="1:14" s="1" customFormat="1" ht="12.75" customHeight="1" x14ac:dyDescent="0.2">
      <c r="A230" s="32"/>
      <c r="B230" s="32"/>
      <c r="C230" s="33" t="s">
        <v>42</v>
      </c>
      <c r="D230" s="33" t="s">
        <v>43</v>
      </c>
      <c r="E230" s="33" t="s">
        <v>44</v>
      </c>
      <c r="F230" s="33" t="s">
        <v>45</v>
      </c>
      <c r="G230" s="33" t="s">
        <v>46</v>
      </c>
      <c r="H230" s="39" t="s">
        <v>47</v>
      </c>
      <c r="I230" s="33"/>
      <c r="J230" s="41"/>
    </row>
    <row r="231" spans="1:14" s="1" customFormat="1" ht="12.75" customHeight="1" x14ac:dyDescent="0.2">
      <c r="A231" s="26" t="s">
        <v>609</v>
      </c>
      <c r="B231" s="26" t="s">
        <v>610</v>
      </c>
      <c r="C231" s="30" t="s">
        <v>611</v>
      </c>
      <c r="D231" s="35" t="s">
        <v>51</v>
      </c>
      <c r="E231" s="64">
        <v>0.5</v>
      </c>
      <c r="F231" s="37">
        <v>15</v>
      </c>
      <c r="G231" s="35">
        <v>1.75</v>
      </c>
      <c r="H231" s="40">
        <v>0.8</v>
      </c>
      <c r="I231" s="38" t="s">
        <v>612</v>
      </c>
      <c r="J231" s="34">
        <f>IFERROR(_xlfn.XLOOKUP(I231,Index!$A:$A,Index!$B:$B),"")</f>
        <v>87.75</v>
      </c>
    </row>
    <row r="232" spans="1:14" s="1" customFormat="1" ht="12" x14ac:dyDescent="0.2">
      <c r="A232" s="26"/>
      <c r="B232" s="26"/>
      <c r="C232" s="30"/>
      <c r="D232" s="35" t="s">
        <v>53</v>
      </c>
      <c r="E232" s="64">
        <v>0.5</v>
      </c>
      <c r="F232" s="37">
        <v>15</v>
      </c>
      <c r="G232" s="35">
        <v>1.75</v>
      </c>
      <c r="H232" s="40">
        <v>0.8</v>
      </c>
      <c r="I232" s="38" t="s">
        <v>613</v>
      </c>
      <c r="J232" s="34">
        <f>IFERROR(_xlfn.XLOOKUP(I232,Index!$A:$A,Index!$B:$B),"")</f>
        <v>91.75</v>
      </c>
    </row>
    <row r="233" spans="1:14" s="1" customFormat="1" ht="12" x14ac:dyDescent="0.2">
      <c r="A233" s="26"/>
      <c r="B233" s="26"/>
      <c r="C233" s="30"/>
      <c r="D233" s="35" t="s">
        <v>55</v>
      </c>
      <c r="E233" s="64">
        <v>0.5</v>
      </c>
      <c r="F233" s="37">
        <v>15</v>
      </c>
      <c r="G233" s="35">
        <v>1.75</v>
      </c>
      <c r="H233" s="40">
        <v>0.8</v>
      </c>
      <c r="I233" s="38" t="s">
        <v>614</v>
      </c>
      <c r="J233" s="34">
        <f>IFERROR(_xlfn.XLOOKUP(I233,Index!$A:$A,Index!$B:$B),"")</f>
        <v>91.75</v>
      </c>
    </row>
    <row r="234" spans="1:14" s="1" customFormat="1" ht="12.75" customHeight="1" x14ac:dyDescent="0.2">
      <c r="A234" s="26"/>
      <c r="B234" s="26"/>
      <c r="C234" s="30"/>
      <c r="D234" s="35" t="s">
        <v>51</v>
      </c>
      <c r="E234" s="64">
        <v>0.75</v>
      </c>
      <c r="F234" s="37">
        <v>20</v>
      </c>
      <c r="G234" s="35">
        <v>2.75</v>
      </c>
      <c r="H234" s="40">
        <v>1.2</v>
      </c>
      <c r="I234" s="38" t="s">
        <v>615</v>
      </c>
      <c r="J234" s="34">
        <f>IFERROR(_xlfn.XLOOKUP(I234,Index!$A:$A,Index!$B:$B),"")</f>
        <v>108</v>
      </c>
    </row>
    <row r="235" spans="1:14" s="1" customFormat="1" ht="12.75" customHeight="1" x14ac:dyDescent="0.2">
      <c r="A235" s="26"/>
      <c r="B235" s="26"/>
      <c r="C235" s="30"/>
      <c r="D235" s="35" t="s">
        <v>53</v>
      </c>
      <c r="E235" s="64">
        <v>0.75</v>
      </c>
      <c r="F235" s="37">
        <v>20</v>
      </c>
      <c r="G235" s="35">
        <v>2.75</v>
      </c>
      <c r="H235" s="40">
        <v>1.2</v>
      </c>
      <c r="I235" s="38" t="s">
        <v>616</v>
      </c>
      <c r="J235" s="34">
        <f>IFERROR(_xlfn.XLOOKUP(I235,Index!$A:$A,Index!$B:$B),"")</f>
        <v>113</v>
      </c>
    </row>
    <row r="236" spans="1:14" s="1" customFormat="1" ht="12.75" customHeight="1" x14ac:dyDescent="0.2">
      <c r="A236" s="26"/>
      <c r="B236" s="26"/>
      <c r="C236" s="30"/>
      <c r="D236" s="35" t="s">
        <v>55</v>
      </c>
      <c r="E236" s="64">
        <v>0.75</v>
      </c>
      <c r="F236" s="37">
        <v>20</v>
      </c>
      <c r="G236" s="35">
        <v>2.75</v>
      </c>
      <c r="H236" s="40">
        <v>1.2</v>
      </c>
      <c r="I236" s="38" t="s">
        <v>617</v>
      </c>
      <c r="J236" s="34">
        <f>IFERROR(_xlfn.XLOOKUP(I236,Index!$A:$A,Index!$B:$B),"")</f>
        <v>113</v>
      </c>
    </row>
    <row r="237" spans="1:14" s="1" customFormat="1" ht="12.75" customHeight="1" x14ac:dyDescent="0.2">
      <c r="A237" s="26"/>
      <c r="B237" s="26"/>
      <c r="C237" s="30"/>
      <c r="D237" s="35" t="s">
        <v>51</v>
      </c>
      <c r="E237" s="36">
        <v>1</v>
      </c>
      <c r="F237" s="37">
        <v>25</v>
      </c>
      <c r="G237" s="35">
        <v>4.5</v>
      </c>
      <c r="H237" s="40">
        <v>2</v>
      </c>
      <c r="I237" s="38" t="s">
        <v>618</v>
      </c>
      <c r="J237" s="34">
        <f>IFERROR(_xlfn.XLOOKUP(I237,Index!$A:$A,Index!$B:$B),"")</f>
        <v>159</v>
      </c>
    </row>
    <row r="238" spans="1:14" s="1" customFormat="1" ht="12.75" customHeight="1" x14ac:dyDescent="0.2">
      <c r="A238" s="26"/>
      <c r="B238" s="26"/>
      <c r="C238" s="30"/>
      <c r="D238" s="35" t="s">
        <v>53</v>
      </c>
      <c r="E238" s="36">
        <v>1</v>
      </c>
      <c r="F238" s="37">
        <v>25</v>
      </c>
      <c r="G238" s="35">
        <v>4.5</v>
      </c>
      <c r="H238" s="40">
        <v>2</v>
      </c>
      <c r="I238" s="38" t="s">
        <v>619</v>
      </c>
      <c r="J238" s="34">
        <f>IFERROR(_xlfn.XLOOKUP(I238,Index!$A:$A,Index!$B:$B),"")</f>
        <v>167</v>
      </c>
    </row>
    <row r="239" spans="1:14" s="1" customFormat="1" ht="12.75" customHeight="1" x14ac:dyDescent="0.2">
      <c r="A239" s="26"/>
      <c r="B239" s="26"/>
      <c r="C239" s="30"/>
      <c r="D239" s="35" t="s">
        <v>55</v>
      </c>
      <c r="E239" s="36">
        <v>1</v>
      </c>
      <c r="F239" s="37">
        <v>25</v>
      </c>
      <c r="G239" s="35">
        <v>4.5</v>
      </c>
      <c r="H239" s="40">
        <v>2</v>
      </c>
      <c r="I239" s="38" t="s">
        <v>620</v>
      </c>
      <c r="J239" s="34">
        <f>IFERROR(_xlfn.XLOOKUP(I239,Index!$A:$A,Index!$B:$B),"")</f>
        <v>167</v>
      </c>
    </row>
    <row r="240" spans="1:14" s="1" customFormat="1" ht="12.75" customHeight="1" x14ac:dyDescent="0.2">
      <c r="A240" s="26"/>
      <c r="B240" s="26"/>
      <c r="C240" s="30"/>
      <c r="D240" s="35" t="s">
        <v>51</v>
      </c>
      <c r="E240" s="64">
        <v>1.25</v>
      </c>
      <c r="F240" s="37">
        <v>32</v>
      </c>
      <c r="G240" s="35">
        <v>6</v>
      </c>
      <c r="H240" s="40">
        <v>2.7</v>
      </c>
      <c r="I240" s="38" t="s">
        <v>621</v>
      </c>
      <c r="J240" s="34">
        <f>IFERROR(_xlfn.XLOOKUP(I240,Index!$A:$A,Index!$B:$B),"")</f>
        <v>252</v>
      </c>
    </row>
    <row r="241" spans="1:10" s="1" customFormat="1" ht="12.75" customHeight="1" x14ac:dyDescent="0.2">
      <c r="A241" s="26"/>
      <c r="B241" s="26"/>
      <c r="C241" s="30"/>
      <c r="D241" s="35" t="s">
        <v>53</v>
      </c>
      <c r="E241" s="64">
        <v>1.25</v>
      </c>
      <c r="F241" s="37">
        <v>32</v>
      </c>
      <c r="G241" s="35">
        <v>6</v>
      </c>
      <c r="H241" s="40">
        <v>2.7</v>
      </c>
      <c r="I241" s="38" t="s">
        <v>622</v>
      </c>
      <c r="J241" s="34">
        <f>IFERROR(_xlfn.XLOOKUP(I241,Index!$A:$A,Index!$B:$B),"")</f>
        <v>265</v>
      </c>
    </row>
    <row r="242" spans="1:10" s="1" customFormat="1" ht="12.75" customHeight="1" x14ac:dyDescent="0.2">
      <c r="A242" s="26"/>
      <c r="B242" s="26"/>
      <c r="C242" s="30"/>
      <c r="D242" s="35" t="s">
        <v>55</v>
      </c>
      <c r="E242" s="64">
        <v>1.25</v>
      </c>
      <c r="F242" s="37">
        <v>32</v>
      </c>
      <c r="G242" s="35">
        <v>6</v>
      </c>
      <c r="H242" s="40">
        <v>2.7</v>
      </c>
      <c r="I242" s="38" t="s">
        <v>623</v>
      </c>
      <c r="J242" s="34">
        <f>IFERROR(_xlfn.XLOOKUP(I242,Index!$A:$A,Index!$B:$B),"")</f>
        <v>265</v>
      </c>
    </row>
    <row r="243" spans="1:10" s="1" customFormat="1" ht="12.75" customHeight="1" x14ac:dyDescent="0.2">
      <c r="A243" s="26"/>
      <c r="B243" s="26"/>
      <c r="C243" s="30"/>
      <c r="D243" s="35" t="s">
        <v>51</v>
      </c>
      <c r="E243" s="64">
        <v>1.5</v>
      </c>
      <c r="F243" s="37">
        <v>40</v>
      </c>
      <c r="G243" s="35">
        <v>8</v>
      </c>
      <c r="H243" s="40">
        <v>3.6</v>
      </c>
      <c r="I243" s="38" t="s">
        <v>624</v>
      </c>
      <c r="J243" s="34">
        <f>IFERROR(_xlfn.XLOOKUP(I243,Index!$A:$A,Index!$B:$B),"")</f>
        <v>339.5</v>
      </c>
    </row>
    <row r="244" spans="1:10" s="1" customFormat="1" ht="12.75" customHeight="1" x14ac:dyDescent="0.2">
      <c r="A244" s="26"/>
      <c r="B244" s="26"/>
      <c r="C244" s="30"/>
      <c r="D244" s="35" t="s">
        <v>53</v>
      </c>
      <c r="E244" s="64">
        <v>1.5</v>
      </c>
      <c r="F244" s="37">
        <v>40</v>
      </c>
      <c r="G244" s="35">
        <v>8</v>
      </c>
      <c r="H244" s="40">
        <v>3.6</v>
      </c>
      <c r="I244" s="38" t="s">
        <v>625</v>
      </c>
      <c r="J244" s="34">
        <f>IFERROR(_xlfn.XLOOKUP(I244,Index!$A:$A,Index!$B:$B),"")</f>
        <v>356</v>
      </c>
    </row>
    <row r="245" spans="1:10" s="1" customFormat="1" ht="12.75" customHeight="1" x14ac:dyDescent="0.2">
      <c r="A245" s="26"/>
      <c r="B245" s="26"/>
      <c r="C245" s="30"/>
      <c r="D245" s="35" t="s">
        <v>55</v>
      </c>
      <c r="E245" s="64">
        <v>1.5</v>
      </c>
      <c r="F245" s="37">
        <v>40</v>
      </c>
      <c r="G245" s="35">
        <v>8</v>
      </c>
      <c r="H245" s="40">
        <v>3.6</v>
      </c>
      <c r="I245" s="38" t="s">
        <v>626</v>
      </c>
      <c r="J245" s="34">
        <f>IFERROR(_xlfn.XLOOKUP(I245,Index!$A:$A,Index!$B:$B),"")</f>
        <v>356</v>
      </c>
    </row>
    <row r="246" spans="1:10" s="1" customFormat="1" ht="12.75" customHeight="1" x14ac:dyDescent="0.2">
      <c r="A246" s="26"/>
      <c r="B246" s="26"/>
      <c r="C246" s="30"/>
      <c r="D246" s="35" t="s">
        <v>51</v>
      </c>
      <c r="E246" s="36">
        <v>2</v>
      </c>
      <c r="F246" s="37">
        <v>50</v>
      </c>
      <c r="G246" s="35">
        <v>16</v>
      </c>
      <c r="H246" s="40">
        <v>7.3</v>
      </c>
      <c r="I246" s="38" t="s">
        <v>627</v>
      </c>
      <c r="J246" s="34">
        <f>IFERROR(_xlfn.XLOOKUP(I246,Index!$A:$A,Index!$B:$B),"")</f>
        <v>444</v>
      </c>
    </row>
    <row r="247" spans="1:10" s="1" customFormat="1" ht="12.75" customHeight="1" x14ac:dyDescent="0.2">
      <c r="A247" s="26"/>
      <c r="B247" s="26"/>
      <c r="C247" s="30"/>
      <c r="D247" s="35" t="s">
        <v>53</v>
      </c>
      <c r="E247" s="36">
        <v>2</v>
      </c>
      <c r="F247" s="37">
        <v>50</v>
      </c>
      <c r="G247" s="35">
        <v>16</v>
      </c>
      <c r="H247" s="40">
        <v>7.3</v>
      </c>
      <c r="I247" s="38" t="s">
        <v>628</v>
      </c>
      <c r="J247" s="34">
        <f>IFERROR(_xlfn.XLOOKUP(I247,Index!$A:$A,Index!$B:$B),"")</f>
        <v>467</v>
      </c>
    </row>
    <row r="248" spans="1:10" s="1" customFormat="1" ht="12.75" customHeight="1" x14ac:dyDescent="0.2">
      <c r="A248" s="26"/>
      <c r="B248" s="26"/>
      <c r="C248" s="26"/>
      <c r="D248" s="35" t="s">
        <v>55</v>
      </c>
      <c r="E248" s="36">
        <v>2</v>
      </c>
      <c r="F248" s="37">
        <v>50</v>
      </c>
      <c r="G248" s="35">
        <v>16</v>
      </c>
      <c r="H248" s="40">
        <v>7.3</v>
      </c>
      <c r="I248" s="38" t="s">
        <v>629</v>
      </c>
      <c r="J248" s="34">
        <f>IFERROR(_xlfn.XLOOKUP(I248,Index!$A:$A,Index!$B:$B),"")</f>
        <v>467</v>
      </c>
    </row>
    <row r="249" spans="1:10" s="1" customFormat="1" ht="12.75" customHeight="1" x14ac:dyDescent="0.2">
      <c r="A249" s="26"/>
      <c r="B249" s="26"/>
      <c r="C249" s="26"/>
      <c r="D249" s="35" t="s">
        <v>508</v>
      </c>
      <c r="E249" s="64">
        <v>2.5</v>
      </c>
      <c r="F249" s="37">
        <v>65</v>
      </c>
      <c r="G249" s="35">
        <v>34</v>
      </c>
      <c r="H249" s="40">
        <v>15.4</v>
      </c>
      <c r="I249" s="38" t="s">
        <v>630</v>
      </c>
      <c r="J249" s="34">
        <f>IFERROR(_xlfn.XLOOKUP(I249,Index!$A:$A,Index!$B:$B),"")</f>
        <v>1338</v>
      </c>
    </row>
    <row r="250" spans="1:10" s="1" customFormat="1" ht="12.75" customHeight="1" x14ac:dyDescent="0.2">
      <c r="A250" s="26"/>
      <c r="B250" s="26"/>
      <c r="C250" s="26"/>
      <c r="D250" s="35" t="s">
        <v>53</v>
      </c>
      <c r="E250" s="64">
        <v>2.5</v>
      </c>
      <c r="F250" s="37">
        <v>65</v>
      </c>
      <c r="G250" s="35">
        <v>34</v>
      </c>
      <c r="H250" s="40">
        <v>15.4</v>
      </c>
      <c r="I250" s="38" t="s">
        <v>631</v>
      </c>
      <c r="J250" s="34">
        <f>IFERROR(_xlfn.XLOOKUP(I250,Index!$A:$A,Index!$B:$B),"")</f>
        <v>1404</v>
      </c>
    </row>
    <row r="251" spans="1:10" s="1" customFormat="1" ht="12.75" customHeight="1" x14ac:dyDescent="0.2">
      <c r="A251" s="26"/>
      <c r="B251" s="26"/>
      <c r="C251" s="26"/>
      <c r="D251" s="35" t="s">
        <v>55</v>
      </c>
      <c r="E251" s="64">
        <v>2.5</v>
      </c>
      <c r="F251" s="37">
        <v>65</v>
      </c>
      <c r="G251" s="35">
        <v>34</v>
      </c>
      <c r="H251" s="40">
        <v>15.4</v>
      </c>
      <c r="I251" s="38" t="s">
        <v>632</v>
      </c>
      <c r="J251" s="34">
        <f>IFERROR(_xlfn.XLOOKUP(I251,Index!$A:$A,Index!$B:$B),"")</f>
        <v>1404</v>
      </c>
    </row>
    <row r="252" spans="1:10" s="1" customFormat="1" ht="12.75" customHeight="1" x14ac:dyDescent="0.2">
      <c r="A252" s="26"/>
      <c r="B252" s="26"/>
      <c r="C252" s="26"/>
      <c r="D252" s="35" t="s">
        <v>508</v>
      </c>
      <c r="E252" s="36">
        <v>3</v>
      </c>
      <c r="F252" s="37">
        <v>80</v>
      </c>
      <c r="G252" s="35">
        <v>34</v>
      </c>
      <c r="H252" s="40">
        <v>15.4</v>
      </c>
      <c r="I252" s="38" t="s">
        <v>633</v>
      </c>
      <c r="J252" s="34">
        <f>IFERROR(_xlfn.XLOOKUP(I252,Index!$A:$A,Index!$B:$B),"")</f>
        <v>2702</v>
      </c>
    </row>
    <row r="253" spans="1:10" s="1" customFormat="1" ht="12.75" customHeight="1" x14ac:dyDescent="0.2">
      <c r="A253" s="26"/>
      <c r="B253" s="26"/>
      <c r="C253" s="26"/>
      <c r="D253" s="35" t="s">
        <v>53</v>
      </c>
      <c r="E253" s="36">
        <v>3</v>
      </c>
      <c r="F253" s="37">
        <v>80</v>
      </c>
      <c r="G253" s="35">
        <v>34</v>
      </c>
      <c r="H253" s="40">
        <v>15.4</v>
      </c>
      <c r="I253" s="38" t="s">
        <v>634</v>
      </c>
      <c r="J253" s="34">
        <f>IFERROR(_xlfn.XLOOKUP(I253,Index!$A:$A,Index!$B:$B),"")</f>
        <v>2839</v>
      </c>
    </row>
    <row r="254" spans="1:10" s="1" customFormat="1" ht="12.75" customHeight="1" x14ac:dyDescent="0.2">
      <c r="A254" s="27"/>
      <c r="B254" s="27"/>
      <c r="C254" s="27"/>
      <c r="D254" s="35" t="s">
        <v>55</v>
      </c>
      <c r="E254" s="36">
        <v>3</v>
      </c>
      <c r="F254" s="37">
        <v>80</v>
      </c>
      <c r="G254" s="35">
        <v>34</v>
      </c>
      <c r="H254" s="40">
        <v>15.4</v>
      </c>
      <c r="I254" s="38" t="s">
        <v>635</v>
      </c>
      <c r="J254" s="34">
        <f>IFERROR(_xlfn.XLOOKUP(I254,Index!$A:$A,Index!$B:$B),"")</f>
        <v>2839</v>
      </c>
    </row>
    <row r="255" spans="1:10" s="1" customFormat="1" ht="12.75" customHeight="1" x14ac:dyDescent="0.2">
      <c r="A255" s="12"/>
      <c r="B255" s="12"/>
      <c r="C255" s="4"/>
      <c r="D255" s="4"/>
      <c r="E255" s="5"/>
      <c r="F255" s="21"/>
      <c r="G255" s="4"/>
      <c r="H255" s="19"/>
      <c r="I255" s="19"/>
      <c r="J255" s="20"/>
    </row>
    <row r="256" spans="1:10" s="1" customFormat="1" ht="12.75" customHeight="1" x14ac:dyDescent="0.2">
      <c r="A256" s="12"/>
      <c r="B256" s="12"/>
      <c r="C256" s="4"/>
      <c r="D256" s="4"/>
      <c r="E256" s="5"/>
      <c r="F256" s="13"/>
      <c r="G256" s="4"/>
      <c r="H256" s="19"/>
      <c r="I256" s="19"/>
      <c r="J256" s="20"/>
    </row>
    <row r="257" spans="1:14" s="264" customFormat="1" ht="15.75" x14ac:dyDescent="0.2">
      <c r="A257" s="217" t="s">
        <v>5550</v>
      </c>
      <c r="B257" s="68" t="s">
        <v>468</v>
      </c>
      <c r="C257" s="267"/>
      <c r="D257" s="258"/>
      <c r="E257" s="259"/>
      <c r="F257" s="260"/>
      <c r="G257" s="261"/>
      <c r="H257" s="262"/>
      <c r="I257" s="262"/>
      <c r="J257" s="263"/>
    </row>
    <row r="258" spans="1:14" s="1" customFormat="1" ht="15.75" x14ac:dyDescent="0.2">
      <c r="A258" s="48" t="s">
        <v>636</v>
      </c>
      <c r="B258" s="57"/>
      <c r="C258" s="58"/>
      <c r="D258" s="58"/>
      <c r="E258" s="59"/>
      <c r="F258" s="51"/>
      <c r="G258" s="58"/>
      <c r="H258" s="53"/>
      <c r="I258" s="53"/>
      <c r="J258" s="54"/>
    </row>
    <row r="259" spans="1:14" s="1" customFormat="1" ht="12.75" customHeight="1" x14ac:dyDescent="0.2">
      <c r="A259" s="25" t="s">
        <v>35</v>
      </c>
      <c r="B259" s="28" t="s">
        <v>36</v>
      </c>
      <c r="C259" s="333" t="s">
        <v>37</v>
      </c>
      <c r="D259" s="334"/>
      <c r="E259" s="335" t="s">
        <v>38</v>
      </c>
      <c r="F259" s="336"/>
      <c r="G259" s="335" t="s">
        <v>39</v>
      </c>
      <c r="H259" s="336"/>
      <c r="I259" s="42" t="s">
        <v>40</v>
      </c>
      <c r="J259" s="43" t="s">
        <v>41</v>
      </c>
    </row>
    <row r="260" spans="1:14" s="1" customFormat="1" ht="12.75" customHeight="1" x14ac:dyDescent="0.2">
      <c r="A260" s="32"/>
      <c r="B260" s="32"/>
      <c r="C260" s="33" t="s">
        <v>42</v>
      </c>
      <c r="D260" s="33" t="s">
        <v>43</v>
      </c>
      <c r="E260" s="33" t="s">
        <v>44</v>
      </c>
      <c r="F260" s="33" t="s">
        <v>45</v>
      </c>
      <c r="G260" s="33" t="s">
        <v>46</v>
      </c>
      <c r="H260" s="33" t="s">
        <v>47</v>
      </c>
      <c r="I260" s="33"/>
      <c r="J260" s="44"/>
    </row>
    <row r="261" spans="1:14" s="1" customFormat="1" ht="12.75" customHeight="1" x14ac:dyDescent="0.2">
      <c r="A261" s="26" t="s">
        <v>637</v>
      </c>
      <c r="B261" s="26" t="s">
        <v>49</v>
      </c>
      <c r="C261" s="30" t="s">
        <v>50</v>
      </c>
      <c r="D261" s="35" t="s">
        <v>51</v>
      </c>
      <c r="E261" s="64">
        <v>0.5</v>
      </c>
      <c r="F261" s="45">
        <v>15</v>
      </c>
      <c r="G261" s="35">
        <v>1.1299999999999999</v>
      </c>
      <c r="H261" s="40">
        <v>0.5</v>
      </c>
      <c r="I261" s="38" t="s">
        <v>638</v>
      </c>
      <c r="J261" s="34">
        <f>IFERROR(_xlfn.XLOOKUP(I261,Index!$A:$A,Index!$B:$B),"")</f>
        <v>60</v>
      </c>
    </row>
    <row r="262" spans="1:14" s="55" customFormat="1" ht="14.25" x14ac:dyDescent="0.2">
      <c r="A262" s="26"/>
      <c r="B262" s="26"/>
      <c r="C262" s="30"/>
      <c r="D262" s="35" t="s">
        <v>51</v>
      </c>
      <c r="E262" s="64">
        <v>0.75</v>
      </c>
      <c r="F262" s="45">
        <v>20</v>
      </c>
      <c r="G262" s="35">
        <v>1.75</v>
      </c>
      <c r="H262" s="40">
        <v>0.8</v>
      </c>
      <c r="I262" s="38" t="s">
        <v>639</v>
      </c>
      <c r="J262" s="34">
        <f>IFERROR(_xlfn.XLOOKUP(I262,Index!$A:$A,Index!$B:$B),"")</f>
        <v>73</v>
      </c>
      <c r="K262" s="1"/>
      <c r="L262" s="1"/>
      <c r="M262" s="1"/>
      <c r="N262" s="1"/>
    </row>
    <row r="263" spans="1:14" s="55" customFormat="1" ht="14.25" x14ac:dyDescent="0.2">
      <c r="A263" s="26"/>
      <c r="B263" s="26"/>
      <c r="C263" s="30"/>
      <c r="D263" s="35" t="s">
        <v>51</v>
      </c>
      <c r="E263" s="64">
        <v>1</v>
      </c>
      <c r="F263" s="45">
        <v>25</v>
      </c>
      <c r="G263" s="35">
        <v>2.75</v>
      </c>
      <c r="H263" s="40">
        <v>1.2</v>
      </c>
      <c r="I263" s="38" t="s">
        <v>640</v>
      </c>
      <c r="J263" s="34">
        <f>IFERROR(_xlfn.XLOOKUP(I263,Index!$A:$A,Index!$B:$B),"")</f>
        <v>108.5</v>
      </c>
      <c r="K263" s="1"/>
      <c r="L263" s="1"/>
      <c r="M263" s="1"/>
      <c r="N263" s="1"/>
    </row>
    <row r="264" spans="1:14" s="1" customFormat="1" ht="12.75" customHeight="1" x14ac:dyDescent="0.2">
      <c r="A264" s="26"/>
      <c r="B264" s="26"/>
      <c r="C264" s="30"/>
      <c r="D264" s="35" t="s">
        <v>51</v>
      </c>
      <c r="E264" s="64">
        <v>1.25</v>
      </c>
      <c r="F264" s="45">
        <v>32</v>
      </c>
      <c r="G264" s="35">
        <v>4.5</v>
      </c>
      <c r="H264" s="40">
        <v>2</v>
      </c>
      <c r="I264" s="38" t="s">
        <v>641</v>
      </c>
      <c r="J264" s="34">
        <f>IFERROR(_xlfn.XLOOKUP(I264,Index!$A:$A,Index!$B:$B),"")</f>
        <v>171.5</v>
      </c>
    </row>
    <row r="265" spans="1:14" s="1" customFormat="1" ht="12.75" customHeight="1" x14ac:dyDescent="0.2">
      <c r="A265" s="26"/>
      <c r="B265" s="26"/>
      <c r="C265" s="30"/>
      <c r="D265" s="35" t="s">
        <v>51</v>
      </c>
      <c r="E265" s="64">
        <v>1.5</v>
      </c>
      <c r="F265" s="45">
        <v>40</v>
      </c>
      <c r="G265" s="35">
        <v>6</v>
      </c>
      <c r="H265" s="40">
        <v>2.7</v>
      </c>
      <c r="I265" s="38" t="s">
        <v>642</v>
      </c>
      <c r="J265" s="34">
        <f>IFERROR(_xlfn.XLOOKUP(I265,Index!$A:$A,Index!$B:$B),"")</f>
        <v>232</v>
      </c>
    </row>
    <row r="266" spans="1:14" s="1" customFormat="1" ht="12.75" customHeight="1" x14ac:dyDescent="0.2">
      <c r="A266" s="26"/>
      <c r="B266" s="26"/>
      <c r="C266" s="30"/>
      <c r="D266" s="35" t="s">
        <v>51</v>
      </c>
      <c r="E266" s="64">
        <v>2</v>
      </c>
      <c r="F266" s="45">
        <v>50</v>
      </c>
      <c r="G266" s="35">
        <v>8</v>
      </c>
      <c r="H266" s="40">
        <v>3.6</v>
      </c>
      <c r="I266" s="38" t="s">
        <v>643</v>
      </c>
      <c r="J266" s="34">
        <f>IFERROR(_xlfn.XLOOKUP(I266,Index!$A:$A,Index!$B:$B),"")</f>
        <v>302.5</v>
      </c>
    </row>
    <row r="267" spans="1:14" s="1" customFormat="1" ht="12.75" customHeight="1" x14ac:dyDescent="0.2">
      <c r="A267" s="26"/>
      <c r="B267" s="26"/>
      <c r="C267" s="30"/>
      <c r="D267" s="35" t="s">
        <v>508</v>
      </c>
      <c r="E267" s="64">
        <v>2.5</v>
      </c>
      <c r="F267" s="45">
        <v>65</v>
      </c>
      <c r="G267" s="35">
        <v>16</v>
      </c>
      <c r="H267" s="40">
        <v>7.3</v>
      </c>
      <c r="I267" s="38" t="s">
        <v>644</v>
      </c>
      <c r="J267" s="34">
        <f>IFERROR(_xlfn.XLOOKUP(I267,Index!$A:$A,Index!$B:$B),"")</f>
        <v>909</v>
      </c>
    </row>
    <row r="268" spans="1:14" s="1" customFormat="1" ht="12.75" customHeight="1" x14ac:dyDescent="0.2">
      <c r="A268" s="27"/>
      <c r="B268" s="27"/>
      <c r="C268" s="31"/>
      <c r="D268" s="35" t="s">
        <v>508</v>
      </c>
      <c r="E268" s="64">
        <v>3</v>
      </c>
      <c r="F268" s="45">
        <v>80</v>
      </c>
      <c r="G268" s="35">
        <v>34</v>
      </c>
      <c r="H268" s="40">
        <v>15.4</v>
      </c>
      <c r="I268" s="38" t="s">
        <v>645</v>
      </c>
      <c r="J268" s="34">
        <f>IFERROR(_xlfn.XLOOKUP(I268,Index!$A:$A,Index!$B:$B),"")</f>
        <v>954</v>
      </c>
    </row>
    <row r="269" spans="1:14" s="1" customFormat="1" ht="12.75" customHeight="1" x14ac:dyDescent="0.2">
      <c r="A269" s="12"/>
      <c r="B269" s="12"/>
      <c r="C269" s="4"/>
      <c r="D269" s="4"/>
      <c r="E269" s="5"/>
      <c r="F269" s="13"/>
      <c r="G269" s="4"/>
      <c r="H269" s="19"/>
      <c r="I269" s="19"/>
      <c r="J269" s="20"/>
    </row>
    <row r="270" spans="1:14" s="1" customFormat="1" ht="12.75" customHeight="1" x14ac:dyDescent="0.2">
      <c r="A270" s="12"/>
      <c r="B270" s="12"/>
      <c r="C270" s="4"/>
      <c r="D270" s="4"/>
      <c r="E270" s="5"/>
      <c r="F270" s="13"/>
      <c r="G270" s="4"/>
      <c r="H270" s="19"/>
      <c r="I270" s="19"/>
      <c r="J270" s="20"/>
    </row>
    <row r="271" spans="1:14" s="264" customFormat="1" ht="12.75" customHeight="1" x14ac:dyDescent="0.2">
      <c r="A271" s="217" t="s">
        <v>9</v>
      </c>
      <c r="B271" s="47"/>
      <c r="C271" s="47"/>
      <c r="D271" s="258"/>
      <c r="E271" s="259"/>
      <c r="F271" s="260"/>
      <c r="G271" s="261"/>
      <c r="H271" s="262"/>
      <c r="I271" s="262"/>
      <c r="J271" s="263"/>
    </row>
    <row r="272" spans="1:14" s="264" customFormat="1" ht="15.75" x14ac:dyDescent="0.2">
      <c r="A272" s="48" t="s">
        <v>102</v>
      </c>
      <c r="B272" s="217"/>
      <c r="C272" s="265"/>
      <c r="D272" s="265"/>
      <c r="E272" s="266"/>
      <c r="F272" s="260"/>
      <c r="G272" s="265"/>
      <c r="H272" s="262"/>
      <c r="I272" s="262"/>
      <c r="J272" s="263"/>
    </row>
    <row r="273" spans="1:10" s="1" customFormat="1" ht="12.75" customHeight="1" x14ac:dyDescent="0.2">
      <c r="A273" s="25" t="s">
        <v>35</v>
      </c>
      <c r="B273" s="28" t="s">
        <v>103</v>
      </c>
      <c r="C273" s="335" t="s">
        <v>38</v>
      </c>
      <c r="D273" s="336"/>
      <c r="E273" s="42" t="s">
        <v>40</v>
      </c>
      <c r="F273" s="43" t="s">
        <v>41</v>
      </c>
    </row>
    <row r="274" spans="1:10" s="1" customFormat="1" ht="12.75" customHeight="1" x14ac:dyDescent="0.2">
      <c r="A274" s="32"/>
      <c r="B274" s="32"/>
      <c r="C274" s="33" t="s">
        <v>44</v>
      </c>
      <c r="D274" s="33" t="s">
        <v>45</v>
      </c>
      <c r="E274" s="33"/>
      <c r="F274" s="44"/>
    </row>
    <row r="275" spans="1:10" s="1" customFormat="1" ht="12.75" customHeight="1" x14ac:dyDescent="0.2">
      <c r="A275" s="60" t="s">
        <v>646</v>
      </c>
      <c r="B275" s="60" t="s">
        <v>104</v>
      </c>
      <c r="C275" s="64">
        <v>0.5</v>
      </c>
      <c r="D275" s="35">
        <v>15</v>
      </c>
      <c r="E275" s="35" t="s">
        <v>105</v>
      </c>
      <c r="F275" s="34">
        <f>IFERROR(_xlfn.XLOOKUP(E275,Index!$A:$A,Index!$B:$B),"")</f>
        <v>2.75</v>
      </c>
    </row>
    <row r="276" spans="1:10" s="55" customFormat="1" ht="14.25" x14ac:dyDescent="0.2">
      <c r="A276" s="26"/>
      <c r="B276" s="26"/>
      <c r="C276" s="64">
        <v>0.75</v>
      </c>
      <c r="D276" s="35">
        <v>20</v>
      </c>
      <c r="E276" s="35" t="s">
        <v>106</v>
      </c>
      <c r="F276" s="34">
        <f>IFERROR(_xlfn.XLOOKUP(E276,Index!$A:$A,Index!$B:$B),"")</f>
        <v>6</v>
      </c>
      <c r="G276" s="1"/>
      <c r="H276" s="1"/>
      <c r="I276" s="1"/>
      <c r="J276" s="1"/>
    </row>
    <row r="277" spans="1:10" s="55" customFormat="1" ht="14.25" x14ac:dyDescent="0.2">
      <c r="A277" s="26"/>
      <c r="B277" s="26"/>
      <c r="C277" s="64">
        <v>1</v>
      </c>
      <c r="D277" s="35">
        <v>25</v>
      </c>
      <c r="E277" s="35" t="s">
        <v>107</v>
      </c>
      <c r="F277" s="34">
        <f>IFERROR(_xlfn.XLOOKUP(E277,Index!$A:$A,Index!$B:$B),"")</f>
        <v>6</v>
      </c>
      <c r="G277" s="1"/>
      <c r="H277" s="1"/>
      <c r="I277" s="1"/>
      <c r="J277" s="1"/>
    </row>
    <row r="278" spans="1:10" s="1" customFormat="1" ht="12.75" customHeight="1" x14ac:dyDescent="0.2">
      <c r="A278" s="26"/>
      <c r="B278" s="26"/>
      <c r="C278" s="64">
        <v>1.25</v>
      </c>
      <c r="D278" s="35">
        <v>32</v>
      </c>
      <c r="E278" s="35" t="s">
        <v>108</v>
      </c>
      <c r="F278" s="34">
        <f>IFERROR(_xlfn.XLOOKUP(E278,Index!$A:$A,Index!$B:$B),"")</f>
        <v>7.75</v>
      </c>
    </row>
    <row r="279" spans="1:10" s="1" customFormat="1" ht="12.75" customHeight="1" x14ac:dyDescent="0.2">
      <c r="A279" s="26"/>
      <c r="B279" s="26"/>
      <c r="C279" s="64">
        <v>1.5</v>
      </c>
      <c r="D279" s="35">
        <v>40</v>
      </c>
      <c r="E279" s="35" t="s">
        <v>109</v>
      </c>
      <c r="F279" s="34">
        <f>IFERROR(_xlfn.XLOOKUP(E279,Index!$A:$A,Index!$B:$B),"")</f>
        <v>8.5</v>
      </c>
    </row>
    <row r="280" spans="1:10" s="1" customFormat="1" ht="12.75" customHeight="1" x14ac:dyDescent="0.2">
      <c r="A280" s="26"/>
      <c r="B280" s="26"/>
      <c r="C280" s="64">
        <v>2</v>
      </c>
      <c r="D280" s="35">
        <v>50</v>
      </c>
      <c r="E280" s="35" t="s">
        <v>528</v>
      </c>
      <c r="F280" s="34">
        <f>IFERROR(_xlfn.XLOOKUP(E280,Index!$A:$A,Index!$B:$B),"")</f>
        <v>9</v>
      </c>
    </row>
    <row r="281" spans="1:10" s="1" customFormat="1" ht="12.75" customHeight="1" x14ac:dyDescent="0.2">
      <c r="A281" s="26"/>
      <c r="B281" s="26"/>
      <c r="C281" s="64">
        <v>2.5</v>
      </c>
      <c r="D281" s="35">
        <v>65</v>
      </c>
      <c r="E281" s="35" t="s">
        <v>529</v>
      </c>
      <c r="F281" s="34">
        <f>IFERROR(_xlfn.XLOOKUP(E281,Index!$A:$A,Index!$B:$B),"")</f>
        <v>15.75</v>
      </c>
    </row>
    <row r="282" spans="1:10" s="1" customFormat="1" ht="12.75" customHeight="1" x14ac:dyDescent="0.2">
      <c r="A282" s="26"/>
      <c r="B282" s="27"/>
      <c r="C282" s="64">
        <v>3</v>
      </c>
      <c r="D282" s="35">
        <v>80</v>
      </c>
      <c r="E282" s="35" t="s">
        <v>281</v>
      </c>
      <c r="F282" s="34">
        <f>IFERROR(_xlfn.XLOOKUP(E282,Index!$A:$A,Index!$B:$B),"")</f>
        <v>12.25</v>
      </c>
    </row>
    <row r="283" spans="1:10" s="1" customFormat="1" ht="12.75" customHeight="1" x14ac:dyDescent="0.2">
      <c r="A283" s="26"/>
      <c r="B283" s="26" t="s">
        <v>530</v>
      </c>
      <c r="C283" s="64">
        <v>0.5</v>
      </c>
      <c r="D283" s="35">
        <v>15</v>
      </c>
      <c r="E283" s="35" t="s">
        <v>531</v>
      </c>
      <c r="F283" s="34">
        <f>IFERROR(_xlfn.XLOOKUP(E283,Index!$A:$A,Index!$B:$B),"")</f>
        <v>8.25</v>
      </c>
    </row>
    <row r="284" spans="1:10" s="1" customFormat="1" ht="12.75" customHeight="1" x14ac:dyDescent="0.2">
      <c r="A284" s="26"/>
      <c r="B284" s="26"/>
      <c r="C284" s="64">
        <v>0.75</v>
      </c>
      <c r="D284" s="35">
        <v>20</v>
      </c>
      <c r="E284" s="35" t="s">
        <v>532</v>
      </c>
      <c r="F284" s="34">
        <f>IFERROR(_xlfn.XLOOKUP(E284,Index!$A:$A,Index!$B:$B),"")</f>
        <v>8.75</v>
      </c>
    </row>
    <row r="285" spans="1:10" s="1" customFormat="1" ht="12.75" customHeight="1" x14ac:dyDescent="0.2">
      <c r="A285" s="26"/>
      <c r="B285" s="26"/>
      <c r="C285" s="64">
        <v>1</v>
      </c>
      <c r="D285" s="35">
        <v>25</v>
      </c>
      <c r="E285" s="35" t="s">
        <v>533</v>
      </c>
      <c r="F285" s="34">
        <f>IFERROR(_xlfn.XLOOKUP(E285,Index!$A:$A,Index!$B:$B),"")</f>
        <v>8.75</v>
      </c>
    </row>
    <row r="286" spans="1:10" s="1" customFormat="1" ht="12.75" customHeight="1" x14ac:dyDescent="0.2">
      <c r="A286" s="26"/>
      <c r="B286" s="26"/>
      <c r="C286" s="64">
        <v>1.25</v>
      </c>
      <c r="D286" s="35">
        <v>32</v>
      </c>
      <c r="E286" s="35" t="s">
        <v>534</v>
      </c>
      <c r="F286" s="34">
        <f>IFERROR(_xlfn.XLOOKUP(E286,Index!$A:$A,Index!$B:$B),"")</f>
        <v>8.75</v>
      </c>
    </row>
    <row r="287" spans="1:10" s="1" customFormat="1" ht="12.75" customHeight="1" x14ac:dyDescent="0.2">
      <c r="A287" s="26"/>
      <c r="B287" s="26"/>
      <c r="C287" s="64">
        <v>1.5</v>
      </c>
      <c r="D287" s="35">
        <v>40</v>
      </c>
      <c r="E287" s="35" t="s">
        <v>535</v>
      </c>
      <c r="F287" s="34">
        <f>IFERROR(_xlfn.XLOOKUP(E287,Index!$A:$A,Index!$B:$B),"")</f>
        <v>13</v>
      </c>
    </row>
    <row r="288" spans="1:10" s="1" customFormat="1" ht="12.75" customHeight="1" x14ac:dyDescent="0.2">
      <c r="A288" s="26"/>
      <c r="B288" s="27"/>
      <c r="C288" s="64">
        <v>2</v>
      </c>
      <c r="D288" s="35">
        <v>50</v>
      </c>
      <c r="E288" s="35" t="s">
        <v>536</v>
      </c>
      <c r="F288" s="34">
        <f>IFERROR(_xlfn.XLOOKUP(E288,Index!$A:$A,Index!$B:$B),"")</f>
        <v>16.75</v>
      </c>
    </row>
    <row r="289" spans="1:6" s="1" customFormat="1" ht="12.75" customHeight="1" x14ac:dyDescent="0.2">
      <c r="A289" s="26"/>
      <c r="B289" s="26" t="s">
        <v>210</v>
      </c>
      <c r="C289" s="125">
        <v>2.5</v>
      </c>
      <c r="D289" s="35">
        <v>65</v>
      </c>
      <c r="E289" s="35" t="s">
        <v>537</v>
      </c>
      <c r="F289" s="34">
        <f>IFERROR(_xlfn.XLOOKUP(E289,Index!$A:$A,Index!$B:$B),"")</f>
        <v>59.25</v>
      </c>
    </row>
    <row r="290" spans="1:6" s="1" customFormat="1" ht="12.75" customHeight="1" x14ac:dyDescent="0.2">
      <c r="A290" s="26"/>
      <c r="B290" s="26"/>
      <c r="C290" s="64">
        <v>3</v>
      </c>
      <c r="D290" s="35">
        <v>80</v>
      </c>
      <c r="E290" s="35" t="s">
        <v>538</v>
      </c>
      <c r="F290" s="34">
        <f>IFERROR(_xlfn.XLOOKUP(E290,Index!$A:$A,Index!$B:$B),"")</f>
        <v>125</v>
      </c>
    </row>
    <row r="291" spans="1:6" s="1" customFormat="1" ht="12.75" customHeight="1" x14ac:dyDescent="0.2">
      <c r="A291" s="26"/>
      <c r="B291" s="60" t="s">
        <v>122</v>
      </c>
      <c r="C291" s="64">
        <v>0.5</v>
      </c>
      <c r="D291" s="35">
        <v>15</v>
      </c>
      <c r="E291" s="35" t="s">
        <v>539</v>
      </c>
      <c r="F291" s="34">
        <f>IFERROR(_xlfn.XLOOKUP(E291,Index!$A:$A,Index!$B:$B),"")</f>
        <v>63.5</v>
      </c>
    </row>
    <row r="292" spans="1:6" s="1" customFormat="1" ht="12.75" customHeight="1" x14ac:dyDescent="0.2">
      <c r="A292" s="26"/>
      <c r="B292" s="26"/>
      <c r="C292" s="64">
        <v>0.75</v>
      </c>
      <c r="D292" s="35">
        <v>20</v>
      </c>
      <c r="E292" s="35" t="s">
        <v>540</v>
      </c>
      <c r="F292" s="34">
        <f>IFERROR(_xlfn.XLOOKUP(E292,Index!$A:$A,Index!$B:$B),"")</f>
        <v>63.5</v>
      </c>
    </row>
    <row r="293" spans="1:6" s="1" customFormat="1" ht="12.75" customHeight="1" x14ac:dyDescent="0.2">
      <c r="A293" s="26"/>
      <c r="B293" s="26"/>
      <c r="C293" s="64">
        <v>1</v>
      </c>
      <c r="D293" s="35">
        <v>25</v>
      </c>
      <c r="E293" s="35" t="s">
        <v>541</v>
      </c>
      <c r="F293" s="34">
        <f>IFERROR(_xlfn.XLOOKUP(E293,Index!$A:$A,Index!$B:$B),"")</f>
        <v>73.5</v>
      </c>
    </row>
    <row r="294" spans="1:6" s="1" customFormat="1" ht="12.75" customHeight="1" x14ac:dyDescent="0.2">
      <c r="A294" s="26"/>
      <c r="B294" s="26"/>
      <c r="C294" s="64">
        <v>1.25</v>
      </c>
      <c r="D294" s="35">
        <v>32</v>
      </c>
      <c r="E294" s="35" t="s">
        <v>542</v>
      </c>
      <c r="F294" s="34">
        <f>IFERROR(_xlfn.XLOOKUP(E294,Index!$A:$A,Index!$B:$B),"")</f>
        <v>80.5</v>
      </c>
    </row>
    <row r="295" spans="1:6" s="1" customFormat="1" ht="12.75" customHeight="1" x14ac:dyDescent="0.2">
      <c r="A295" s="26"/>
      <c r="B295" s="26"/>
      <c r="C295" s="64">
        <v>1.5</v>
      </c>
      <c r="D295" s="35">
        <v>40</v>
      </c>
      <c r="E295" s="35" t="s">
        <v>543</v>
      </c>
      <c r="F295" s="34">
        <f>IFERROR(_xlfn.XLOOKUP(E295,Index!$A:$A,Index!$B:$B),"")</f>
        <v>88.5</v>
      </c>
    </row>
    <row r="296" spans="1:6" s="1" customFormat="1" ht="12.75" customHeight="1" x14ac:dyDescent="0.2">
      <c r="A296" s="26"/>
      <c r="B296" s="26"/>
      <c r="C296" s="64">
        <v>2</v>
      </c>
      <c r="D296" s="35">
        <v>50</v>
      </c>
      <c r="E296" s="35" t="s">
        <v>544</v>
      </c>
      <c r="F296" s="34">
        <f>IFERROR(_xlfn.XLOOKUP(E296,Index!$A:$A,Index!$B:$B),"")</f>
        <v>88.5</v>
      </c>
    </row>
    <row r="297" spans="1:6" s="1" customFormat="1" ht="12.75" customHeight="1" x14ac:dyDescent="0.2">
      <c r="A297" s="26"/>
      <c r="B297" s="26"/>
      <c r="C297" s="64">
        <v>2.5</v>
      </c>
      <c r="D297" s="35">
        <v>65</v>
      </c>
      <c r="E297" s="35" t="s">
        <v>545</v>
      </c>
      <c r="F297" s="34">
        <f>IFERROR(_xlfn.XLOOKUP(E297,Index!$A:$A,Index!$B:$B),"")</f>
        <v>93.5</v>
      </c>
    </row>
    <row r="298" spans="1:6" s="1" customFormat="1" ht="12.75" customHeight="1" x14ac:dyDescent="0.2">
      <c r="A298" s="26"/>
      <c r="B298" s="26"/>
      <c r="C298" s="64">
        <v>3</v>
      </c>
      <c r="D298" s="35">
        <v>80</v>
      </c>
      <c r="E298" s="35" t="s">
        <v>546</v>
      </c>
      <c r="F298" s="34">
        <f>IFERROR(_xlfn.XLOOKUP(E298,Index!$A:$A,Index!$B:$B),"")</f>
        <v>125</v>
      </c>
    </row>
    <row r="299" spans="1:6" s="1" customFormat="1" ht="12.75" customHeight="1" x14ac:dyDescent="0.2">
      <c r="A299" s="26"/>
      <c r="B299" s="60" t="s">
        <v>134</v>
      </c>
      <c r="C299" s="64">
        <v>0.5</v>
      </c>
      <c r="D299" s="35">
        <v>15</v>
      </c>
      <c r="E299" s="35" t="s">
        <v>547</v>
      </c>
      <c r="F299" s="34">
        <f>IFERROR(_xlfn.XLOOKUP(E299,Index!$A:$A,Index!$B:$B),"")</f>
        <v>63.5</v>
      </c>
    </row>
    <row r="300" spans="1:6" s="1" customFormat="1" ht="12.75" customHeight="1" x14ac:dyDescent="0.2">
      <c r="A300" s="26"/>
      <c r="B300" s="26"/>
      <c r="C300" s="64">
        <v>0.75</v>
      </c>
      <c r="D300" s="35">
        <v>20</v>
      </c>
      <c r="E300" s="35" t="s">
        <v>548</v>
      </c>
      <c r="F300" s="34">
        <f>IFERROR(_xlfn.XLOOKUP(E300,Index!$A:$A,Index!$B:$B),"")</f>
        <v>63.5</v>
      </c>
    </row>
    <row r="301" spans="1:6" s="1" customFormat="1" ht="12.75" customHeight="1" x14ac:dyDescent="0.2">
      <c r="A301" s="26"/>
      <c r="B301" s="26"/>
      <c r="C301" s="64">
        <v>1</v>
      </c>
      <c r="D301" s="35">
        <v>25</v>
      </c>
      <c r="E301" s="35" t="s">
        <v>549</v>
      </c>
      <c r="F301" s="34">
        <f>IFERROR(_xlfn.XLOOKUP(E301,Index!$A:$A,Index!$B:$B),"")</f>
        <v>73.5</v>
      </c>
    </row>
    <row r="302" spans="1:6" s="1" customFormat="1" ht="12.75" customHeight="1" x14ac:dyDescent="0.2">
      <c r="A302" s="26"/>
      <c r="B302" s="26"/>
      <c r="C302" s="64">
        <v>1.25</v>
      </c>
      <c r="D302" s="35">
        <v>32</v>
      </c>
      <c r="E302" s="35" t="s">
        <v>550</v>
      </c>
      <c r="F302" s="34">
        <f>IFERROR(_xlfn.XLOOKUP(E302,Index!$A:$A,Index!$B:$B),"")</f>
        <v>80.5</v>
      </c>
    </row>
    <row r="303" spans="1:6" s="1" customFormat="1" ht="12.75" customHeight="1" x14ac:dyDescent="0.2">
      <c r="A303" s="26"/>
      <c r="B303" s="26"/>
      <c r="C303" s="64">
        <v>1.5</v>
      </c>
      <c r="D303" s="35">
        <v>40</v>
      </c>
      <c r="E303" s="35" t="s">
        <v>551</v>
      </c>
      <c r="F303" s="34">
        <f>IFERROR(_xlfn.XLOOKUP(E303,Index!$A:$A,Index!$B:$B),"")</f>
        <v>88.5</v>
      </c>
    </row>
    <row r="304" spans="1:6" s="1" customFormat="1" ht="12.75" customHeight="1" x14ac:dyDescent="0.2">
      <c r="A304" s="26"/>
      <c r="B304" s="26"/>
      <c r="C304" s="64">
        <v>2</v>
      </c>
      <c r="D304" s="35">
        <v>50</v>
      </c>
      <c r="E304" s="35" t="s">
        <v>552</v>
      </c>
      <c r="F304" s="34">
        <f>IFERROR(_xlfn.XLOOKUP(E304,Index!$A:$A,Index!$B:$B),"")</f>
        <v>88.5</v>
      </c>
    </row>
    <row r="305" spans="1:6" s="1" customFormat="1" ht="12.75" customHeight="1" x14ac:dyDescent="0.2">
      <c r="A305" s="26"/>
      <c r="B305" s="26"/>
      <c r="C305" s="64">
        <v>2.5</v>
      </c>
      <c r="D305" s="35">
        <v>65</v>
      </c>
      <c r="E305" s="35" t="s">
        <v>553</v>
      </c>
      <c r="F305" s="34">
        <f>IFERROR(_xlfn.XLOOKUP(E305,Index!$A:$A,Index!$B:$B),"")</f>
        <v>93.5</v>
      </c>
    </row>
    <row r="306" spans="1:6" s="1" customFormat="1" ht="12.75" customHeight="1" x14ac:dyDescent="0.2">
      <c r="A306" s="26"/>
      <c r="B306" s="26"/>
      <c r="C306" s="185">
        <v>3</v>
      </c>
      <c r="D306" s="89">
        <v>80</v>
      </c>
      <c r="E306" s="89" t="s">
        <v>554</v>
      </c>
      <c r="F306" s="34">
        <f>IFERROR(_xlfn.XLOOKUP(E306,Index!$A:$A,Index!$B:$B),"")</f>
        <v>125</v>
      </c>
    </row>
    <row r="307" spans="1:6" s="1" customFormat="1" ht="12.75" customHeight="1" x14ac:dyDescent="0.2">
      <c r="A307" s="26"/>
      <c r="B307" s="60" t="s">
        <v>145</v>
      </c>
      <c r="C307" s="64">
        <v>0.5</v>
      </c>
      <c r="D307" s="35">
        <v>15</v>
      </c>
      <c r="E307" s="35" t="s">
        <v>555</v>
      </c>
      <c r="F307" s="34">
        <f>IFERROR(_xlfn.XLOOKUP(E307,Index!$A:$A,Index!$B:$B),"")</f>
        <v>57.5</v>
      </c>
    </row>
    <row r="308" spans="1:6" s="1" customFormat="1" ht="12.75" customHeight="1" x14ac:dyDescent="0.2">
      <c r="A308" s="26"/>
      <c r="B308" s="26"/>
      <c r="C308" s="64">
        <v>0.75</v>
      </c>
      <c r="D308" s="35">
        <v>20</v>
      </c>
      <c r="E308" s="35" t="s">
        <v>556</v>
      </c>
      <c r="F308" s="34">
        <f>IFERROR(_xlfn.XLOOKUP(E308,Index!$A:$A,Index!$B:$B),"")</f>
        <v>63.5</v>
      </c>
    </row>
    <row r="309" spans="1:6" s="1" customFormat="1" ht="12.75" customHeight="1" x14ac:dyDescent="0.2">
      <c r="A309" s="26"/>
      <c r="B309" s="26"/>
      <c r="C309" s="64">
        <v>1</v>
      </c>
      <c r="D309" s="35">
        <v>25</v>
      </c>
      <c r="E309" s="35" t="s">
        <v>557</v>
      </c>
      <c r="F309" s="34">
        <f>IFERROR(_xlfn.XLOOKUP(E309,Index!$A:$A,Index!$B:$B),"")</f>
        <v>73.5</v>
      </c>
    </row>
    <row r="310" spans="1:6" s="1" customFormat="1" ht="12.75" customHeight="1" x14ac:dyDescent="0.2">
      <c r="A310" s="26"/>
      <c r="B310" s="26"/>
      <c r="C310" s="64">
        <v>1.25</v>
      </c>
      <c r="D310" s="35">
        <v>32</v>
      </c>
      <c r="E310" s="35" t="s">
        <v>2848</v>
      </c>
      <c r="F310" s="34">
        <f>IFERROR(_xlfn.XLOOKUP(E310,Index!$A:$A,Index!$B:$B),"")</f>
        <v>80.5</v>
      </c>
    </row>
    <row r="311" spans="1:6" s="1" customFormat="1" ht="12.75" customHeight="1" x14ac:dyDescent="0.2">
      <c r="A311" s="26"/>
      <c r="B311" s="26"/>
      <c r="C311" s="64">
        <v>1.5</v>
      </c>
      <c r="D311" s="35">
        <v>40</v>
      </c>
      <c r="E311" s="35" t="s">
        <v>2847</v>
      </c>
      <c r="F311" s="34">
        <f>IFERROR(_xlfn.XLOOKUP(E311,Index!$A:$A,Index!$B:$B),"")</f>
        <v>88.5</v>
      </c>
    </row>
    <row r="312" spans="1:6" s="1" customFormat="1" ht="12.75" customHeight="1" x14ac:dyDescent="0.2">
      <c r="A312" s="26"/>
      <c r="B312" s="26"/>
      <c r="C312" s="64">
        <v>2</v>
      </c>
      <c r="D312" s="35">
        <v>50</v>
      </c>
      <c r="E312" s="35" t="s">
        <v>558</v>
      </c>
      <c r="F312" s="34">
        <f>IFERROR(_xlfn.XLOOKUP(E312,Index!$A:$A,Index!$B:$B),"")</f>
        <v>88.5</v>
      </c>
    </row>
    <row r="313" spans="1:6" s="1" customFormat="1" ht="12.75" customHeight="1" x14ac:dyDescent="0.2">
      <c r="A313" s="26"/>
      <c r="B313" s="26"/>
      <c r="C313" s="64">
        <v>2.5</v>
      </c>
      <c r="D313" s="35">
        <v>65</v>
      </c>
      <c r="E313" s="35" t="s">
        <v>559</v>
      </c>
      <c r="F313" s="34">
        <f>IFERROR(_xlfn.XLOOKUP(E313,Index!$A:$A,Index!$B:$B),"")</f>
        <v>93.5</v>
      </c>
    </row>
    <row r="314" spans="1:6" s="1" customFormat="1" ht="12.75" customHeight="1" x14ac:dyDescent="0.2">
      <c r="A314" s="26"/>
      <c r="B314" s="27"/>
      <c r="C314" s="64">
        <v>3</v>
      </c>
      <c r="D314" s="35">
        <v>80</v>
      </c>
      <c r="E314" s="35" t="s">
        <v>560</v>
      </c>
      <c r="F314" s="34">
        <f>IFERROR(_xlfn.XLOOKUP(E314,Index!$A:$A,Index!$B:$B),"")</f>
        <v>125</v>
      </c>
    </row>
    <row r="315" spans="1:6" s="1" customFormat="1" ht="12.75" customHeight="1" x14ac:dyDescent="0.2">
      <c r="A315" s="26"/>
      <c r="B315" s="26" t="s">
        <v>155</v>
      </c>
      <c r="C315" s="187">
        <v>0.5</v>
      </c>
      <c r="D315" s="31">
        <v>15</v>
      </c>
      <c r="E315" s="31" t="s">
        <v>561</v>
      </c>
      <c r="F315" s="34">
        <f>IFERROR(_xlfn.XLOOKUP(E315,Index!$A:$A,Index!$B:$B),"")</f>
        <v>57.5</v>
      </c>
    </row>
    <row r="316" spans="1:6" s="1" customFormat="1" ht="12.75" customHeight="1" x14ac:dyDescent="0.2">
      <c r="A316" s="26"/>
      <c r="B316" s="26"/>
      <c r="C316" s="64">
        <v>0.75</v>
      </c>
      <c r="D316" s="35">
        <v>20</v>
      </c>
      <c r="E316" s="35" t="s">
        <v>562</v>
      </c>
      <c r="F316" s="34">
        <f>IFERROR(_xlfn.XLOOKUP(E316,Index!$A:$A,Index!$B:$B),"")</f>
        <v>63.5</v>
      </c>
    </row>
    <row r="317" spans="1:6" s="1" customFormat="1" ht="12.75" customHeight="1" x14ac:dyDescent="0.2">
      <c r="A317" s="26"/>
      <c r="B317" s="26"/>
      <c r="C317" s="64">
        <v>1</v>
      </c>
      <c r="D317" s="35">
        <v>25</v>
      </c>
      <c r="E317" s="35" t="s">
        <v>563</v>
      </c>
      <c r="F317" s="34">
        <f>IFERROR(_xlfn.XLOOKUP(E317,Index!$A:$A,Index!$B:$B),"")</f>
        <v>73.5</v>
      </c>
    </row>
    <row r="318" spans="1:6" s="1" customFormat="1" ht="12.75" customHeight="1" x14ac:dyDescent="0.2">
      <c r="A318" s="26"/>
      <c r="B318" s="26"/>
      <c r="C318" s="64">
        <v>1.25</v>
      </c>
      <c r="D318" s="35">
        <v>32</v>
      </c>
      <c r="E318" s="35" t="s">
        <v>564</v>
      </c>
      <c r="F318" s="34">
        <f>IFERROR(_xlfn.XLOOKUP(E318,Index!$A:$A,Index!$B:$B),"")</f>
        <v>80.5</v>
      </c>
    </row>
    <row r="319" spans="1:6" s="1" customFormat="1" ht="12.75" customHeight="1" x14ac:dyDescent="0.2">
      <c r="A319" s="26"/>
      <c r="B319" s="26"/>
      <c r="C319" s="64">
        <v>1.5</v>
      </c>
      <c r="D319" s="35">
        <v>40</v>
      </c>
      <c r="E319" s="35" t="s">
        <v>565</v>
      </c>
      <c r="F319" s="34">
        <f>IFERROR(_xlfn.XLOOKUP(E319,Index!$A:$A,Index!$B:$B),"")</f>
        <v>88.5</v>
      </c>
    </row>
    <row r="320" spans="1:6" s="1" customFormat="1" ht="12.75" customHeight="1" x14ac:dyDescent="0.2">
      <c r="A320" s="26"/>
      <c r="B320" s="26"/>
      <c r="C320" s="64">
        <v>2</v>
      </c>
      <c r="D320" s="35">
        <v>50</v>
      </c>
      <c r="E320" s="35" t="s">
        <v>566</v>
      </c>
      <c r="F320" s="34">
        <f>IFERROR(_xlfn.XLOOKUP(E320,Index!$A:$A,Index!$B:$B),"")</f>
        <v>88.5</v>
      </c>
    </row>
    <row r="321" spans="1:14" s="1" customFormat="1" ht="12.75" customHeight="1" x14ac:dyDescent="0.2">
      <c r="A321" s="26"/>
      <c r="B321" s="26"/>
      <c r="C321" s="64">
        <v>2.5</v>
      </c>
      <c r="D321" s="35">
        <v>65</v>
      </c>
      <c r="E321" s="35" t="s">
        <v>567</v>
      </c>
      <c r="F321" s="34">
        <f>IFERROR(_xlfn.XLOOKUP(E321,Index!$A:$A,Index!$B:$B),"")</f>
        <v>93.5</v>
      </c>
    </row>
    <row r="322" spans="1:14" s="1" customFormat="1" ht="12.75" customHeight="1" x14ac:dyDescent="0.2">
      <c r="A322" s="27"/>
      <c r="B322" s="27"/>
      <c r="C322" s="64">
        <v>3</v>
      </c>
      <c r="D322" s="35">
        <v>80</v>
      </c>
      <c r="E322" s="35" t="s">
        <v>568</v>
      </c>
      <c r="F322" s="34">
        <f>IFERROR(_xlfn.XLOOKUP(E322,Index!$A:$A,Index!$B:$B),"")</f>
        <v>125</v>
      </c>
    </row>
    <row r="323" spans="1:14" x14ac:dyDescent="0.25">
      <c r="K323" s="1"/>
      <c r="L323" s="1"/>
      <c r="M323" s="1"/>
      <c r="N323" s="1"/>
    </row>
    <row r="324" spans="1:14" x14ac:dyDescent="0.25">
      <c r="K324" s="1"/>
      <c r="L324" s="1"/>
      <c r="M324" s="1"/>
      <c r="N324" s="1"/>
    </row>
    <row r="325" spans="1:14" x14ac:dyDescent="0.25">
      <c r="K325" s="1"/>
      <c r="L325" s="1"/>
      <c r="M325" s="1"/>
      <c r="N325" s="1"/>
    </row>
    <row r="326" spans="1:14" x14ac:dyDescent="0.25">
      <c r="K326" s="1"/>
      <c r="L326" s="1"/>
      <c r="M326" s="1"/>
      <c r="N326" s="1"/>
    </row>
    <row r="327" spans="1:14" x14ac:dyDescent="0.25">
      <c r="K327" s="1"/>
      <c r="L327" s="1"/>
      <c r="M327" s="1"/>
      <c r="N327" s="1"/>
    </row>
    <row r="328" spans="1:14" x14ac:dyDescent="0.25">
      <c r="K328" s="1"/>
      <c r="L328" s="1"/>
      <c r="M328" s="1"/>
      <c r="N328" s="1"/>
    </row>
    <row r="329" spans="1:14" x14ac:dyDescent="0.25">
      <c r="K329" s="1"/>
      <c r="L329" s="1"/>
      <c r="M329" s="1"/>
      <c r="N329" s="1"/>
    </row>
    <row r="330" spans="1:14" x14ac:dyDescent="0.25">
      <c r="K330" s="1"/>
      <c r="L330" s="1"/>
      <c r="M330" s="1"/>
      <c r="N330" s="1"/>
    </row>
    <row r="331" spans="1:14" x14ac:dyDescent="0.25">
      <c r="K331" s="1"/>
      <c r="L331" s="1"/>
      <c r="M331" s="1"/>
      <c r="N331" s="1"/>
    </row>
    <row r="332" spans="1:14" x14ac:dyDescent="0.25">
      <c r="K332" s="1"/>
      <c r="L332" s="1"/>
      <c r="M332" s="1"/>
      <c r="N332" s="1"/>
    </row>
    <row r="333" spans="1:14" x14ac:dyDescent="0.25">
      <c r="K333" s="1"/>
      <c r="L333" s="1"/>
      <c r="M333" s="1"/>
      <c r="N333" s="1"/>
    </row>
    <row r="334" spans="1:14" x14ac:dyDescent="0.25">
      <c r="K334" s="1"/>
      <c r="L334" s="1"/>
      <c r="M334" s="1"/>
      <c r="N334" s="1"/>
    </row>
    <row r="335" spans="1:14" x14ac:dyDescent="0.25">
      <c r="K335" s="1"/>
      <c r="L335" s="1"/>
      <c r="M335" s="1"/>
      <c r="N335" s="1"/>
    </row>
    <row r="336" spans="1:14" x14ac:dyDescent="0.25">
      <c r="K336" s="1"/>
      <c r="L336" s="1"/>
      <c r="M336" s="1"/>
      <c r="N336" s="1"/>
    </row>
    <row r="337" spans="11:14" x14ac:dyDescent="0.25">
      <c r="K337" s="1"/>
      <c r="L337" s="1"/>
      <c r="M337" s="1"/>
      <c r="N337" s="1"/>
    </row>
    <row r="338" spans="11:14" x14ac:dyDescent="0.25">
      <c r="K338" s="1"/>
      <c r="L338" s="1"/>
      <c r="M338" s="1"/>
      <c r="N338" s="1"/>
    </row>
    <row r="339" spans="11:14" x14ac:dyDescent="0.25">
      <c r="K339" s="1"/>
      <c r="L339" s="1"/>
      <c r="M339" s="1"/>
      <c r="N339" s="1"/>
    </row>
    <row r="340" spans="11:14" x14ac:dyDescent="0.25">
      <c r="K340" s="1"/>
      <c r="L340" s="1"/>
      <c r="M340" s="1"/>
      <c r="N340" s="1"/>
    </row>
    <row r="341" spans="11:14" x14ac:dyDescent="0.25">
      <c r="K341" s="1"/>
      <c r="L341" s="1"/>
      <c r="M341" s="1"/>
      <c r="N341" s="1"/>
    </row>
    <row r="342" spans="11:14" x14ac:dyDescent="0.25">
      <c r="K342" s="1"/>
      <c r="L342" s="1"/>
      <c r="M342" s="1"/>
      <c r="N342" s="1"/>
    </row>
    <row r="343" spans="11:14" x14ac:dyDescent="0.25">
      <c r="K343" s="1"/>
      <c r="L343" s="1"/>
      <c r="M343" s="1"/>
      <c r="N343" s="1"/>
    </row>
    <row r="344" spans="11:14" x14ac:dyDescent="0.25">
      <c r="K344" s="1"/>
      <c r="L344" s="1"/>
      <c r="M344" s="1"/>
      <c r="N344" s="1"/>
    </row>
    <row r="345" spans="11:14" x14ac:dyDescent="0.25">
      <c r="K345" s="1"/>
      <c r="L345" s="1"/>
      <c r="M345" s="1"/>
      <c r="N345" s="1"/>
    </row>
    <row r="346" spans="11:14" x14ac:dyDescent="0.25">
      <c r="K346" s="1"/>
      <c r="L346" s="1"/>
      <c r="M346" s="1"/>
      <c r="N346" s="1"/>
    </row>
    <row r="347" spans="11:14" x14ac:dyDescent="0.25">
      <c r="K347" s="1"/>
      <c r="L347" s="1"/>
      <c r="M347" s="1"/>
      <c r="N347" s="1"/>
    </row>
    <row r="348" spans="11:14" x14ac:dyDescent="0.25">
      <c r="K348" s="1"/>
      <c r="L348" s="1"/>
      <c r="M348" s="1"/>
      <c r="N348" s="1"/>
    </row>
    <row r="349" spans="11:14" x14ac:dyDescent="0.25">
      <c r="K349" s="1"/>
      <c r="L349" s="1"/>
      <c r="M349" s="1"/>
      <c r="N349" s="1"/>
    </row>
    <row r="350" spans="11:14" x14ac:dyDescent="0.25">
      <c r="K350" s="1"/>
      <c r="L350" s="1"/>
      <c r="M350" s="1"/>
      <c r="N350" s="1"/>
    </row>
  </sheetData>
  <mergeCells count="12">
    <mergeCell ref="C40:D40"/>
    <mergeCell ref="E40:F40"/>
    <mergeCell ref="G40:H40"/>
    <mergeCell ref="C56:D56"/>
    <mergeCell ref="C155:D155"/>
    <mergeCell ref="E155:F155"/>
    <mergeCell ref="G155:H155"/>
    <mergeCell ref="C170:D170"/>
    <mergeCell ref="C259:D259"/>
    <mergeCell ref="E259:F259"/>
    <mergeCell ref="G259:H259"/>
    <mergeCell ref="C273:D273"/>
  </mergeCells>
  <conditionalFormatting sqref="D171">
    <cfRule type="expression" dxfId="1279" priority="136">
      <formula>D171="Not a valid item #"</formula>
    </cfRule>
    <cfRule type="expression" dxfId="1278" priority="137">
      <formula>D171="Not in NPSLS"</formula>
    </cfRule>
    <cfRule type="expression" dxfId="1277" priority="138">
      <formula>D171="Obsolete"</formula>
    </cfRule>
    <cfRule type="expression" dxfId="1276" priority="139">
      <formula>D171=""</formula>
    </cfRule>
    <cfRule type="expression" dxfId="1275" priority="140">
      <formula>D171="List Price"</formula>
    </cfRule>
  </conditionalFormatting>
  <conditionalFormatting sqref="D274">
    <cfRule type="expression" dxfId="1274" priority="126">
      <formula>D274="Not a valid item #"</formula>
    </cfRule>
    <cfRule type="expression" dxfId="1273" priority="127">
      <formula>D274="Not in NPSLS"</formula>
    </cfRule>
    <cfRule type="expression" dxfId="1272" priority="128">
      <formula>D274="Obsolete"</formula>
    </cfRule>
    <cfRule type="expression" dxfId="1271" priority="129">
      <formula>D274=""</formula>
    </cfRule>
    <cfRule type="expression" dxfId="1270" priority="130">
      <formula>D274="List Price"</formula>
    </cfRule>
  </conditionalFormatting>
  <conditionalFormatting sqref="F2:F39 F41:F55 D57 F120:F154 F156:F169 F227:F258 F260:F272">
    <cfRule type="expression" dxfId="1269" priority="141">
      <formula>D2="Not a valid item #"</formula>
    </cfRule>
    <cfRule type="expression" dxfId="1268" priority="142">
      <formula>D2="Not in NPSLS"</formula>
    </cfRule>
    <cfRule type="expression" dxfId="1267" priority="143">
      <formula>D2="Obsolete"</formula>
    </cfRule>
    <cfRule type="expression" dxfId="1266" priority="144">
      <formula>D2=""</formula>
    </cfRule>
    <cfRule type="expression" dxfId="1265" priority="145">
      <formula>D2="List Price"</formula>
    </cfRule>
  </conditionalFormatting>
  <hyperlinks>
    <hyperlink ref="A1" location="'Table of Contents'!A1" display="Return Home" xr:uid="{F9DB03C4-4617-4FCD-A3D0-E603E98EA91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5CD5-0C6D-410E-9BCB-C7E84500E69F}">
  <sheetPr codeName="Sheet6"/>
  <dimension ref="A1:P952"/>
  <sheetViews>
    <sheetView showGridLines="0" zoomScale="80" zoomScaleNormal="80" workbookViewId="0"/>
  </sheetViews>
  <sheetFormatPr defaultRowHeight="15" x14ac:dyDescent="0.25"/>
  <cols>
    <col min="1" max="1" width="31.28515625" customWidth="1"/>
    <col min="2" max="2" width="21.7109375" customWidth="1"/>
    <col min="3" max="3" width="12.28515625" customWidth="1"/>
    <col min="5" max="5" width="12" customWidth="1"/>
    <col min="6" max="6" width="14.28515625" customWidth="1"/>
    <col min="9" max="9" width="18" bestFit="1" customWidth="1"/>
    <col min="10" max="10" width="12.140625" customWidth="1"/>
    <col min="11" max="11" width="12.5703125" customWidth="1"/>
    <col min="12" max="12" width="11.85546875" bestFit="1" customWidth="1"/>
    <col min="13" max="13" width="10" bestFit="1" customWidth="1"/>
  </cols>
  <sheetData>
    <row r="1" spans="1:16" x14ac:dyDescent="0.25">
      <c r="A1" s="255" t="s">
        <v>5540</v>
      </c>
    </row>
    <row r="2" spans="1:16" s="1" customFormat="1" ht="15.75" x14ac:dyDescent="0.25">
      <c r="A2" s="62" t="s">
        <v>649</v>
      </c>
      <c r="B2" s="62" t="s">
        <v>650</v>
      </c>
      <c r="C2" s="14"/>
      <c r="D2" s="3"/>
      <c r="E2" s="8"/>
      <c r="F2" s="9"/>
      <c r="G2" s="10"/>
      <c r="H2" s="19"/>
      <c r="I2" s="19"/>
      <c r="J2" s="20"/>
      <c r="K2"/>
      <c r="L2"/>
      <c r="M2"/>
      <c r="N2"/>
      <c r="O2"/>
      <c r="P2"/>
    </row>
    <row r="3" spans="1:16" s="1" customFormat="1" ht="15.75" x14ac:dyDescent="0.25">
      <c r="A3" s="48" t="s">
        <v>651</v>
      </c>
      <c r="B3" s="11"/>
      <c r="C3" s="4"/>
      <c r="D3" s="4"/>
      <c r="E3" s="5"/>
      <c r="F3" s="9"/>
      <c r="G3" s="4"/>
      <c r="H3" s="19"/>
      <c r="I3" s="19"/>
      <c r="J3" s="20"/>
      <c r="K3"/>
      <c r="L3"/>
      <c r="M3"/>
      <c r="N3"/>
      <c r="O3"/>
      <c r="P3"/>
    </row>
    <row r="4" spans="1:16" s="1" customFormat="1" ht="12.75" customHeight="1" x14ac:dyDescent="0.2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/>
      <c r="L4"/>
      <c r="M4"/>
      <c r="N4"/>
      <c r="O4"/>
      <c r="P4"/>
    </row>
    <row r="5" spans="1:16" s="1" customFormat="1" ht="12.75" customHeight="1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/>
      <c r="L5"/>
      <c r="M5"/>
      <c r="N5"/>
      <c r="O5"/>
      <c r="P5"/>
    </row>
    <row r="6" spans="1:16" s="1" customFormat="1" ht="12.75" customHeight="1" x14ac:dyDescent="0.25">
      <c r="A6" s="26" t="s">
        <v>652</v>
      </c>
      <c r="B6" s="26" t="s">
        <v>49</v>
      </c>
      <c r="C6" s="30" t="s">
        <v>50</v>
      </c>
      <c r="D6" s="35" t="s">
        <v>508</v>
      </c>
      <c r="E6" s="70">
        <v>0.25</v>
      </c>
      <c r="F6" s="38">
        <v>8</v>
      </c>
      <c r="G6" s="38">
        <v>2</v>
      </c>
      <c r="H6" s="38">
        <v>0.9</v>
      </c>
      <c r="I6" s="38" t="s">
        <v>653</v>
      </c>
      <c r="J6" s="34">
        <f>IFERROR(_xlfn.XLOOKUP(I6,Index!$A:$A,Index!$B:$B),"")</f>
        <v>131</v>
      </c>
      <c r="K6"/>
      <c r="L6"/>
      <c r="M6"/>
      <c r="N6"/>
      <c r="O6"/>
      <c r="P6"/>
    </row>
    <row r="7" spans="1:16" s="1" customFormat="1" x14ac:dyDescent="0.25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654</v>
      </c>
      <c r="J7" s="34">
        <f>IFERROR(_xlfn.XLOOKUP(I7,Index!$A:$A,Index!$B:$B),"")</f>
        <v>138</v>
      </c>
      <c r="K7"/>
      <c r="L7"/>
      <c r="M7"/>
      <c r="N7"/>
      <c r="O7"/>
      <c r="P7"/>
    </row>
    <row r="8" spans="1:16" s="1" customFormat="1" x14ac:dyDescent="0.25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5542</v>
      </c>
      <c r="J8" s="34">
        <f>J7</f>
        <v>138</v>
      </c>
      <c r="K8"/>
      <c r="L8"/>
      <c r="M8"/>
      <c r="N8"/>
      <c r="O8"/>
      <c r="P8"/>
    </row>
    <row r="9" spans="1:16" s="1" customFormat="1" ht="12.75" customHeight="1" x14ac:dyDescent="0.25">
      <c r="A9" s="26"/>
      <c r="B9" s="26"/>
      <c r="C9" s="30"/>
      <c r="D9" s="35" t="s">
        <v>508</v>
      </c>
      <c r="E9" s="64">
        <v>0.375</v>
      </c>
      <c r="F9" s="37">
        <v>10</v>
      </c>
      <c r="G9" s="35">
        <v>2</v>
      </c>
      <c r="H9" s="40">
        <v>0.9</v>
      </c>
      <c r="I9" s="38" t="s">
        <v>656</v>
      </c>
      <c r="J9" s="34">
        <f>IFERROR(_xlfn.XLOOKUP(I9,Index!$A:$A,Index!$B:$B),"")</f>
        <v>131</v>
      </c>
      <c r="K9"/>
      <c r="L9"/>
      <c r="M9"/>
      <c r="N9"/>
      <c r="O9"/>
      <c r="P9"/>
    </row>
    <row r="10" spans="1:16" s="1" customFormat="1" ht="12.75" customHeight="1" x14ac:dyDescent="0.25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2</v>
      </c>
      <c r="H10" s="40">
        <v>0.9</v>
      </c>
      <c r="I10" s="38" t="s">
        <v>657</v>
      </c>
      <c r="J10" s="34">
        <f>IFERROR(_xlfn.XLOOKUP(I10,Index!$A:$A,Index!$B:$B),"")</f>
        <v>138</v>
      </c>
      <c r="K10"/>
      <c r="L10"/>
      <c r="M10"/>
      <c r="N10"/>
      <c r="O10"/>
      <c r="P10"/>
    </row>
    <row r="11" spans="1:16" s="1" customFormat="1" ht="12.75" customHeight="1" x14ac:dyDescent="0.25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2</v>
      </c>
      <c r="H11" s="40">
        <v>0.9</v>
      </c>
      <c r="I11" s="38" t="s">
        <v>658</v>
      </c>
      <c r="J11" s="34">
        <f>IFERROR(_xlfn.XLOOKUP(I11,Index!$A:$A,Index!$B:$B),"")</f>
        <v>138</v>
      </c>
      <c r="K11"/>
      <c r="L11"/>
      <c r="M11"/>
      <c r="N11"/>
      <c r="O11"/>
      <c r="P11"/>
    </row>
    <row r="12" spans="1:16" s="1" customFormat="1" ht="12.75" customHeight="1" x14ac:dyDescent="0.25">
      <c r="A12" s="26"/>
      <c r="B12" s="26"/>
      <c r="C12" s="30"/>
      <c r="D12" s="35" t="s">
        <v>508</v>
      </c>
      <c r="E12" s="64">
        <v>0.5</v>
      </c>
      <c r="F12" s="37">
        <v>15</v>
      </c>
      <c r="G12" s="35">
        <v>2</v>
      </c>
      <c r="H12" s="40">
        <v>0.9</v>
      </c>
      <c r="I12" s="38" t="s">
        <v>659</v>
      </c>
      <c r="J12" s="34">
        <f>IFERROR(_xlfn.XLOOKUP(I12,Index!$A:$A,Index!$B:$B),"")</f>
        <v>131</v>
      </c>
      <c r="K12"/>
      <c r="L12"/>
      <c r="M12"/>
      <c r="N12"/>
      <c r="O12"/>
      <c r="P12"/>
    </row>
    <row r="13" spans="1:16" s="1" customFormat="1" ht="12.75" customHeight="1" x14ac:dyDescent="0.25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2</v>
      </c>
      <c r="H13" s="40">
        <v>0.9</v>
      </c>
      <c r="I13" s="38" t="s">
        <v>660</v>
      </c>
      <c r="J13" s="34">
        <f>IFERROR(_xlfn.XLOOKUP(I13,Index!$A:$A,Index!$B:$B),"")</f>
        <v>138</v>
      </c>
      <c r="K13"/>
      <c r="L13"/>
      <c r="M13"/>
      <c r="N13"/>
      <c r="O13"/>
      <c r="P13"/>
    </row>
    <row r="14" spans="1:16" s="1" customFormat="1" ht="12.75" customHeight="1" x14ac:dyDescent="0.25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2</v>
      </c>
      <c r="H14" s="40">
        <v>0.9</v>
      </c>
      <c r="I14" s="38" t="s">
        <v>661</v>
      </c>
      <c r="J14" s="34">
        <f>IFERROR(_xlfn.XLOOKUP(I14,Index!$A:$A,Index!$B:$B),"")</f>
        <v>138</v>
      </c>
      <c r="K14"/>
      <c r="L14"/>
      <c r="M14"/>
      <c r="N14"/>
      <c r="O14"/>
      <c r="P14"/>
    </row>
    <row r="15" spans="1:16" s="1" customFormat="1" ht="12.75" customHeight="1" x14ac:dyDescent="0.25">
      <c r="A15" s="26"/>
      <c r="B15" s="26"/>
      <c r="C15" s="30"/>
      <c r="D15" s="35" t="s">
        <v>508</v>
      </c>
      <c r="E15" s="64">
        <v>0.75</v>
      </c>
      <c r="F15" s="37">
        <v>20</v>
      </c>
      <c r="G15" s="35">
        <v>3</v>
      </c>
      <c r="H15" s="40">
        <v>1.4</v>
      </c>
      <c r="I15" s="38" t="s">
        <v>662</v>
      </c>
      <c r="J15" s="34">
        <f>IFERROR(_xlfn.XLOOKUP(I15,Index!$A:$A,Index!$B:$B),"")</f>
        <v>153.5</v>
      </c>
      <c r="K15"/>
      <c r="L15"/>
      <c r="M15"/>
      <c r="N15"/>
      <c r="O15"/>
      <c r="P15"/>
    </row>
    <row r="16" spans="1:16" s="1" customFormat="1" ht="12.75" customHeight="1" x14ac:dyDescent="0.25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3</v>
      </c>
      <c r="H16" s="40">
        <v>1.4</v>
      </c>
      <c r="I16" s="38" t="s">
        <v>663</v>
      </c>
      <c r="J16" s="34">
        <f>IFERROR(_xlfn.XLOOKUP(I16,Index!$A:$A,Index!$B:$B),"")</f>
        <v>161</v>
      </c>
      <c r="K16"/>
      <c r="L16"/>
      <c r="M16"/>
      <c r="N16"/>
      <c r="O16"/>
      <c r="P16"/>
    </row>
    <row r="17" spans="1:16" s="1" customFormat="1" ht="12.75" customHeight="1" x14ac:dyDescent="0.25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3</v>
      </c>
      <c r="H17" s="40">
        <v>1.4</v>
      </c>
      <c r="I17" s="38" t="s">
        <v>664</v>
      </c>
      <c r="J17" s="34">
        <f>IFERROR(_xlfn.XLOOKUP(I17,Index!$A:$A,Index!$B:$B),"")</f>
        <v>161</v>
      </c>
      <c r="K17"/>
      <c r="L17"/>
      <c r="M17"/>
      <c r="N17"/>
      <c r="O17"/>
      <c r="P17"/>
    </row>
    <row r="18" spans="1:16" s="1" customFormat="1" ht="12.75" customHeight="1" x14ac:dyDescent="0.25">
      <c r="A18" s="26"/>
      <c r="B18" s="26"/>
      <c r="C18" s="30"/>
      <c r="D18" s="35" t="s">
        <v>508</v>
      </c>
      <c r="E18" s="36">
        <v>1</v>
      </c>
      <c r="F18" s="37">
        <v>25</v>
      </c>
      <c r="G18" s="35">
        <v>5</v>
      </c>
      <c r="H18" s="40">
        <v>2.2999999999999998</v>
      </c>
      <c r="I18" s="38" t="s">
        <v>665</v>
      </c>
      <c r="J18" s="34">
        <f>IFERROR(_xlfn.XLOOKUP(I18,Index!$A:$A,Index!$B:$B),"")</f>
        <v>201.5</v>
      </c>
      <c r="K18"/>
      <c r="L18"/>
      <c r="M18"/>
      <c r="N18"/>
      <c r="O18"/>
      <c r="P18"/>
    </row>
    <row r="19" spans="1:16" s="1" customFormat="1" ht="12.75" customHeight="1" x14ac:dyDescent="0.25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5</v>
      </c>
      <c r="H19" s="40">
        <v>2.2999999999999998</v>
      </c>
      <c r="I19" s="38" t="s">
        <v>666</v>
      </c>
      <c r="J19" s="34">
        <f>IFERROR(_xlfn.XLOOKUP(I19,Index!$A:$A,Index!$B:$B),"")</f>
        <v>212</v>
      </c>
      <c r="K19"/>
      <c r="L19"/>
      <c r="M19"/>
      <c r="N19"/>
      <c r="O19"/>
      <c r="P19"/>
    </row>
    <row r="20" spans="1:16" s="1" customFormat="1" ht="12.75" customHeight="1" x14ac:dyDescent="0.25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5</v>
      </c>
      <c r="H20" s="40">
        <v>2.2999999999999998</v>
      </c>
      <c r="I20" s="38" t="s">
        <v>667</v>
      </c>
      <c r="J20" s="34">
        <f>IFERROR(_xlfn.XLOOKUP(I20,Index!$A:$A,Index!$B:$B),"")</f>
        <v>212</v>
      </c>
      <c r="K20"/>
      <c r="L20"/>
      <c r="M20"/>
      <c r="N20"/>
      <c r="O20"/>
      <c r="P20"/>
    </row>
    <row r="21" spans="1:16" s="1" customFormat="1" ht="12.75" customHeight="1" x14ac:dyDescent="0.25">
      <c r="A21" s="26"/>
      <c r="B21" s="26"/>
      <c r="C21" s="30"/>
      <c r="D21" s="35" t="s">
        <v>508</v>
      </c>
      <c r="E21" s="64">
        <v>1.25</v>
      </c>
      <c r="F21" s="37">
        <v>32</v>
      </c>
      <c r="G21" s="35">
        <v>7</v>
      </c>
      <c r="H21" s="40">
        <v>3.2</v>
      </c>
      <c r="I21" s="38" t="s">
        <v>668</v>
      </c>
      <c r="J21" s="34">
        <f>IFERROR(_xlfn.XLOOKUP(I21,Index!$A:$A,Index!$B:$B),"")</f>
        <v>272.5</v>
      </c>
      <c r="K21"/>
      <c r="L21"/>
      <c r="M21"/>
      <c r="N21"/>
      <c r="O21"/>
      <c r="P21"/>
    </row>
    <row r="22" spans="1:16" s="1" customFormat="1" ht="12.75" customHeight="1" x14ac:dyDescent="0.25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7</v>
      </c>
      <c r="H22" s="40">
        <v>3.2</v>
      </c>
      <c r="I22" s="38" t="s">
        <v>669</v>
      </c>
      <c r="J22" s="34">
        <f>IFERROR(_xlfn.XLOOKUP(I22,Index!$A:$A,Index!$B:$B),"")</f>
        <v>286.5</v>
      </c>
      <c r="K22"/>
      <c r="L22"/>
      <c r="M22"/>
      <c r="N22"/>
      <c r="O22"/>
      <c r="P22"/>
    </row>
    <row r="23" spans="1:16" s="1" customFormat="1" ht="12.75" customHeight="1" x14ac:dyDescent="0.25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7</v>
      </c>
      <c r="H23" s="40">
        <v>3.2</v>
      </c>
      <c r="I23" s="38" t="s">
        <v>670</v>
      </c>
      <c r="J23" s="34">
        <f>IFERROR(_xlfn.XLOOKUP(I23,Index!$A:$A,Index!$B:$B),"")</f>
        <v>286.5</v>
      </c>
      <c r="K23"/>
      <c r="L23"/>
      <c r="M23"/>
      <c r="N23"/>
      <c r="O23"/>
      <c r="P23"/>
    </row>
    <row r="24" spans="1:16" s="1" customFormat="1" ht="12.75" customHeight="1" x14ac:dyDescent="0.25">
      <c r="A24" s="26"/>
      <c r="B24" s="26"/>
      <c r="C24" s="30"/>
      <c r="D24" s="35" t="s">
        <v>508</v>
      </c>
      <c r="E24" s="64">
        <v>1.5</v>
      </c>
      <c r="F24" s="37">
        <v>40</v>
      </c>
      <c r="G24" s="35">
        <v>10</v>
      </c>
      <c r="H24" s="40">
        <v>4.5</v>
      </c>
      <c r="I24" s="38" t="s">
        <v>671</v>
      </c>
      <c r="J24" s="34">
        <f>IFERROR(_xlfn.XLOOKUP(I24,Index!$A:$A,Index!$B:$B),"")</f>
        <v>337</v>
      </c>
      <c r="K24"/>
      <c r="L24"/>
      <c r="M24"/>
      <c r="N24"/>
      <c r="O24"/>
      <c r="P24"/>
    </row>
    <row r="25" spans="1:16" s="1" customFormat="1" ht="12.75" customHeight="1" x14ac:dyDescent="0.25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</v>
      </c>
      <c r="H25" s="40">
        <v>4.5</v>
      </c>
      <c r="I25" s="38" t="s">
        <v>672</v>
      </c>
      <c r="J25" s="34">
        <f>IFERROR(_xlfn.XLOOKUP(I25,Index!$A:$A,Index!$B:$B),"")</f>
        <v>353</v>
      </c>
      <c r="K25"/>
      <c r="L25"/>
      <c r="M25"/>
      <c r="N25"/>
      <c r="O25"/>
      <c r="P25"/>
    </row>
    <row r="26" spans="1:16" s="1" customFormat="1" ht="12.75" customHeight="1" x14ac:dyDescent="0.25">
      <c r="A26" s="26"/>
      <c r="B26" s="26"/>
      <c r="C26" s="26"/>
      <c r="D26" s="35" t="s">
        <v>55</v>
      </c>
      <c r="E26" s="64">
        <v>1.5</v>
      </c>
      <c r="F26" s="37">
        <v>40</v>
      </c>
      <c r="G26" s="35">
        <v>10</v>
      </c>
      <c r="H26" s="40">
        <v>4.5</v>
      </c>
      <c r="I26" s="38" t="s">
        <v>673</v>
      </c>
      <c r="J26" s="34">
        <f>IFERROR(_xlfn.XLOOKUP(I26,Index!$A:$A,Index!$B:$B),"")</f>
        <v>353</v>
      </c>
      <c r="K26"/>
      <c r="L26"/>
      <c r="M26"/>
      <c r="N26"/>
      <c r="O26"/>
      <c r="P26"/>
    </row>
    <row r="27" spans="1:16" s="1" customFormat="1" ht="12.75" customHeight="1" x14ac:dyDescent="0.25">
      <c r="A27" s="26"/>
      <c r="B27" s="26"/>
      <c r="C27" s="26"/>
      <c r="D27" s="35" t="s">
        <v>508</v>
      </c>
      <c r="E27" s="36">
        <v>2</v>
      </c>
      <c r="F27" s="37">
        <v>50</v>
      </c>
      <c r="G27" s="35">
        <v>15</v>
      </c>
      <c r="H27" s="40">
        <v>6.8</v>
      </c>
      <c r="I27" s="38" t="s">
        <v>674</v>
      </c>
      <c r="J27" s="34">
        <f>IFERROR(_xlfn.XLOOKUP(I27,Index!$A:$A,Index!$B:$B),"")</f>
        <v>430.5</v>
      </c>
      <c r="K27"/>
      <c r="L27"/>
      <c r="M27"/>
      <c r="N27"/>
      <c r="O27"/>
      <c r="P27"/>
    </row>
    <row r="28" spans="1:16" s="1" customFormat="1" ht="12.75" customHeight="1" x14ac:dyDescent="0.25">
      <c r="A28" s="26"/>
      <c r="B28" s="26"/>
      <c r="C28" s="26"/>
      <c r="D28" s="35" t="s">
        <v>53</v>
      </c>
      <c r="E28" s="36">
        <v>2</v>
      </c>
      <c r="F28" s="37">
        <v>50</v>
      </c>
      <c r="G28" s="35">
        <v>15</v>
      </c>
      <c r="H28" s="40">
        <v>6.8</v>
      </c>
      <c r="I28" s="38" t="s">
        <v>675</v>
      </c>
      <c r="J28" s="34">
        <f>IFERROR(_xlfn.XLOOKUP(I28,Index!$A:$A,Index!$B:$B),"")</f>
        <v>453</v>
      </c>
      <c r="K28"/>
      <c r="L28"/>
      <c r="M28"/>
      <c r="N28"/>
      <c r="O28"/>
      <c r="P28"/>
    </row>
    <row r="29" spans="1:16" s="1" customFormat="1" ht="12.75" customHeight="1" x14ac:dyDescent="0.25">
      <c r="A29" s="27"/>
      <c r="B29" s="27"/>
      <c r="C29" s="27"/>
      <c r="D29" s="35" t="s">
        <v>55</v>
      </c>
      <c r="E29" s="36">
        <v>2</v>
      </c>
      <c r="F29" s="37">
        <v>50</v>
      </c>
      <c r="G29" s="35">
        <v>15</v>
      </c>
      <c r="H29" s="40">
        <v>6.8</v>
      </c>
      <c r="I29" s="38" t="s">
        <v>676</v>
      </c>
      <c r="J29" s="34">
        <f>IFERROR(_xlfn.XLOOKUP(I29,Index!$A:$A,Index!$B:$B),"")</f>
        <v>453</v>
      </c>
      <c r="K29"/>
      <c r="L29"/>
      <c r="M29"/>
      <c r="N29"/>
      <c r="O29"/>
      <c r="P29"/>
    </row>
    <row r="30" spans="1:16" s="1" customFormat="1" ht="12.75" customHeight="1" x14ac:dyDescent="0.25">
      <c r="A30" s="12"/>
      <c r="B30" s="12"/>
      <c r="C30" s="4"/>
      <c r="D30" s="4"/>
      <c r="E30" s="5"/>
      <c r="F30" s="21"/>
      <c r="G30" s="4"/>
      <c r="H30" s="19"/>
      <c r="I30" s="19"/>
      <c r="J30" s="20"/>
      <c r="K30"/>
      <c r="L30"/>
      <c r="M30"/>
      <c r="N30"/>
      <c r="O30"/>
      <c r="P30"/>
    </row>
    <row r="31" spans="1:16" s="1" customFormat="1" ht="12.75" customHeight="1" x14ac:dyDescent="0.25">
      <c r="A31" s="12"/>
      <c r="B31" s="12"/>
      <c r="C31" s="4"/>
      <c r="D31" s="4"/>
      <c r="E31" s="5"/>
      <c r="F31" s="13"/>
      <c r="G31" s="4"/>
      <c r="H31" s="19"/>
      <c r="I31" s="19"/>
      <c r="J31" s="20"/>
      <c r="K31"/>
      <c r="L31"/>
      <c r="M31"/>
      <c r="N31"/>
      <c r="O31"/>
      <c r="P31"/>
    </row>
    <row r="32" spans="1:16" s="79" customFormat="1" ht="15.75" x14ac:dyDescent="0.25">
      <c r="A32" s="71" t="s">
        <v>677</v>
      </c>
      <c r="B32" s="71" t="s">
        <v>650</v>
      </c>
      <c r="C32" s="72"/>
      <c r="D32" s="73"/>
      <c r="E32" s="74"/>
      <c r="F32" s="75"/>
      <c r="G32" s="76"/>
      <c r="H32" s="77"/>
      <c r="I32" s="77"/>
      <c r="J32" s="78"/>
      <c r="K32"/>
      <c r="L32"/>
      <c r="M32"/>
      <c r="N32"/>
      <c r="O32"/>
      <c r="P32"/>
    </row>
    <row r="33" spans="1:16" s="1" customFormat="1" ht="15.75" x14ac:dyDescent="0.25">
      <c r="A33" s="48" t="s">
        <v>678</v>
      </c>
      <c r="B33" s="11"/>
      <c r="C33" s="4"/>
      <c r="D33" s="4"/>
      <c r="E33" s="5"/>
      <c r="F33" s="9"/>
      <c r="G33" s="4"/>
      <c r="H33" s="19"/>
      <c r="I33" s="19"/>
      <c r="J33" s="20"/>
      <c r="K33"/>
      <c r="L33"/>
      <c r="M33"/>
      <c r="N33"/>
      <c r="O33"/>
      <c r="P33"/>
    </row>
    <row r="34" spans="1:16" s="1" customFormat="1" ht="12.75" customHeight="1" x14ac:dyDescent="0.25">
      <c r="A34" s="25" t="s">
        <v>35</v>
      </c>
      <c r="B34" s="28" t="s">
        <v>36</v>
      </c>
      <c r="C34" s="333" t="s">
        <v>37</v>
      </c>
      <c r="D34" s="334"/>
      <c r="E34" s="335" t="s">
        <v>38</v>
      </c>
      <c r="F34" s="336"/>
      <c r="G34" s="335" t="s">
        <v>39</v>
      </c>
      <c r="H34" s="336"/>
      <c r="I34" s="42" t="s">
        <v>40</v>
      </c>
      <c r="J34" s="43" t="s">
        <v>41</v>
      </c>
      <c r="K34"/>
      <c r="L34"/>
      <c r="M34"/>
      <c r="N34"/>
      <c r="O34"/>
      <c r="P34"/>
    </row>
    <row r="35" spans="1:16" s="1" customFormat="1" ht="12.75" customHeight="1" x14ac:dyDescent="0.25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  <c r="K35"/>
      <c r="L35"/>
      <c r="M35"/>
      <c r="N35"/>
      <c r="O35"/>
      <c r="P35"/>
    </row>
    <row r="36" spans="1:16" s="1" customFormat="1" ht="12.75" customHeight="1" x14ac:dyDescent="0.25">
      <c r="A36" s="26" t="s">
        <v>679</v>
      </c>
      <c r="B36" s="26" t="s">
        <v>49</v>
      </c>
      <c r="C36" s="30" t="s">
        <v>50</v>
      </c>
      <c r="D36" s="35" t="s">
        <v>508</v>
      </c>
      <c r="E36" s="70">
        <v>0.25</v>
      </c>
      <c r="F36" s="38">
        <v>8</v>
      </c>
      <c r="G36" s="38">
        <v>2</v>
      </c>
      <c r="H36" s="38">
        <v>0.9</v>
      </c>
      <c r="I36" s="38" t="s">
        <v>680</v>
      </c>
      <c r="J36" s="34">
        <f>IFERROR(_xlfn.XLOOKUP(I36,Index!$A:$A,Index!$B:$B),"")</f>
        <v>122.5</v>
      </c>
      <c r="K36"/>
      <c r="L36"/>
      <c r="M36"/>
      <c r="N36"/>
      <c r="O36"/>
      <c r="P36"/>
    </row>
    <row r="37" spans="1:16" s="55" customFormat="1" x14ac:dyDescent="0.25">
      <c r="A37" s="26"/>
      <c r="B37" s="26"/>
      <c r="C37" s="30"/>
      <c r="D37" s="35" t="s">
        <v>508</v>
      </c>
      <c r="E37" s="64">
        <v>0.375</v>
      </c>
      <c r="F37" s="45">
        <v>10</v>
      </c>
      <c r="G37" s="35">
        <v>1.1299999999999999</v>
      </c>
      <c r="H37" s="40">
        <v>0.5</v>
      </c>
      <c r="I37" s="38" t="s">
        <v>681</v>
      </c>
      <c r="J37" s="34">
        <f>IFERROR(_xlfn.XLOOKUP(I37,Index!$A:$A,Index!$B:$B),"")</f>
        <v>122.5</v>
      </c>
      <c r="K37"/>
      <c r="L37"/>
      <c r="M37"/>
      <c r="N37"/>
      <c r="O37"/>
      <c r="P37"/>
    </row>
    <row r="38" spans="1:16" s="55" customFormat="1" x14ac:dyDescent="0.25">
      <c r="A38" s="26"/>
      <c r="B38" s="26"/>
      <c r="C38" s="30"/>
      <c r="D38" s="35" t="s">
        <v>508</v>
      </c>
      <c r="E38" s="64">
        <v>0.5</v>
      </c>
      <c r="F38" s="45">
        <v>15</v>
      </c>
      <c r="G38" s="35">
        <v>1.1299999999999999</v>
      </c>
      <c r="H38" s="40">
        <v>0.5</v>
      </c>
      <c r="I38" s="38" t="s">
        <v>682</v>
      </c>
      <c r="J38" s="34">
        <f>IFERROR(_xlfn.XLOOKUP(I38,Index!$A:$A,Index!$B:$B),"")</f>
        <v>122.5</v>
      </c>
      <c r="K38"/>
      <c r="L38"/>
      <c r="M38"/>
      <c r="N38"/>
      <c r="O38"/>
      <c r="P38"/>
    </row>
    <row r="39" spans="1:16" s="1" customFormat="1" ht="12.75" customHeight="1" x14ac:dyDescent="0.25">
      <c r="A39" s="26"/>
      <c r="B39" s="26"/>
      <c r="C39" s="30"/>
      <c r="D39" s="35" t="s">
        <v>508</v>
      </c>
      <c r="E39" s="64">
        <v>0.75</v>
      </c>
      <c r="F39" s="45">
        <v>20</v>
      </c>
      <c r="G39" s="35">
        <v>1.75</v>
      </c>
      <c r="H39" s="40">
        <v>0.8</v>
      </c>
      <c r="I39" s="38" t="s">
        <v>683</v>
      </c>
      <c r="J39" s="34">
        <f>IFERROR(_xlfn.XLOOKUP(I39,Index!$A:$A,Index!$B:$B),"")</f>
        <v>144</v>
      </c>
      <c r="K39"/>
      <c r="L39"/>
      <c r="M39"/>
      <c r="N39"/>
      <c r="O39"/>
      <c r="P39"/>
    </row>
    <row r="40" spans="1:16" s="1" customFormat="1" ht="12.75" customHeight="1" x14ac:dyDescent="0.25">
      <c r="A40" s="26"/>
      <c r="B40" s="26"/>
      <c r="C40" s="30"/>
      <c r="D40" s="35" t="s">
        <v>508</v>
      </c>
      <c r="E40" s="64">
        <v>1</v>
      </c>
      <c r="F40" s="45">
        <v>25</v>
      </c>
      <c r="G40" s="35">
        <v>2.75</v>
      </c>
      <c r="H40" s="40">
        <v>1.2</v>
      </c>
      <c r="I40" s="38" t="s">
        <v>684</v>
      </c>
      <c r="J40" s="34">
        <f>IFERROR(_xlfn.XLOOKUP(I40,Index!$A:$A,Index!$B:$B),"")</f>
        <v>189</v>
      </c>
      <c r="K40"/>
      <c r="L40"/>
      <c r="M40"/>
      <c r="N40"/>
      <c r="O40"/>
      <c r="P40"/>
    </row>
    <row r="41" spans="1:16" s="1" customFormat="1" ht="12.75" customHeight="1" x14ac:dyDescent="0.25">
      <c r="A41" s="26"/>
      <c r="B41" s="26"/>
      <c r="C41" s="30"/>
      <c r="D41" s="35" t="s">
        <v>508</v>
      </c>
      <c r="E41" s="64">
        <v>1.25</v>
      </c>
      <c r="F41" s="45">
        <v>32</v>
      </c>
      <c r="G41" s="35">
        <v>4.5</v>
      </c>
      <c r="H41" s="40">
        <v>2</v>
      </c>
      <c r="I41" s="38" t="s">
        <v>668</v>
      </c>
      <c r="J41" s="34">
        <f>IFERROR(_xlfn.XLOOKUP(I41,Index!$A:$A,Index!$B:$B),"")</f>
        <v>272.5</v>
      </c>
      <c r="K41"/>
      <c r="L41"/>
      <c r="M41"/>
      <c r="N41"/>
      <c r="O41"/>
      <c r="P41"/>
    </row>
    <row r="42" spans="1:16" s="1" customFormat="1" ht="12.75" customHeight="1" x14ac:dyDescent="0.25">
      <c r="A42" s="26"/>
      <c r="B42" s="26"/>
      <c r="C42" s="30"/>
      <c r="D42" s="35" t="s">
        <v>508</v>
      </c>
      <c r="E42" s="64">
        <v>1.5</v>
      </c>
      <c r="F42" s="45">
        <v>40</v>
      </c>
      <c r="G42" s="35">
        <v>6</v>
      </c>
      <c r="H42" s="40">
        <v>2.7</v>
      </c>
      <c r="I42" s="38" t="s">
        <v>685</v>
      </c>
      <c r="J42" s="34">
        <f>IFERROR(_xlfn.XLOOKUP(I42,Index!$A:$A,Index!$B:$B),"")</f>
        <v>316</v>
      </c>
      <c r="K42"/>
      <c r="L42"/>
      <c r="M42"/>
      <c r="N42"/>
      <c r="O42"/>
      <c r="P42"/>
    </row>
    <row r="43" spans="1:16" s="1" customFormat="1" ht="12.75" customHeight="1" x14ac:dyDescent="0.25">
      <c r="A43" s="27"/>
      <c r="B43" s="27"/>
      <c r="C43" s="31"/>
      <c r="D43" s="35" t="s">
        <v>508</v>
      </c>
      <c r="E43" s="64">
        <v>2</v>
      </c>
      <c r="F43" s="45">
        <v>50</v>
      </c>
      <c r="G43" s="35">
        <v>8</v>
      </c>
      <c r="H43" s="40">
        <v>3.6</v>
      </c>
      <c r="I43" s="38" t="s">
        <v>686</v>
      </c>
      <c r="J43" s="34">
        <f>IFERROR(_xlfn.XLOOKUP(I43,Index!$A:$A,Index!$B:$B),"")</f>
        <v>404</v>
      </c>
      <c r="K43"/>
      <c r="L43"/>
      <c r="M43"/>
      <c r="N43"/>
      <c r="O43"/>
      <c r="P43"/>
    </row>
    <row r="44" spans="1:16" s="1" customFormat="1" ht="12.75" customHeight="1" x14ac:dyDescent="0.25">
      <c r="A44" s="12"/>
      <c r="B44" s="12"/>
      <c r="C44" s="4"/>
      <c r="D44" s="4"/>
      <c r="E44" s="5"/>
      <c r="F44" s="13"/>
      <c r="G44" s="4"/>
      <c r="H44" s="19"/>
      <c r="I44" s="19"/>
      <c r="J44" s="20"/>
      <c r="K44"/>
      <c r="L44"/>
      <c r="M44"/>
      <c r="N44"/>
      <c r="O44"/>
      <c r="P44"/>
    </row>
    <row r="45" spans="1:16" s="1" customFormat="1" ht="12.75" customHeight="1" x14ac:dyDescent="0.25">
      <c r="A45" s="12"/>
      <c r="B45" s="12"/>
      <c r="C45" s="4"/>
      <c r="D45" s="4"/>
      <c r="E45" s="5"/>
      <c r="F45" s="13"/>
      <c r="G45" s="4"/>
      <c r="H45" s="19"/>
      <c r="I45" s="19"/>
      <c r="J45" s="20"/>
      <c r="K45"/>
      <c r="L45"/>
      <c r="M45"/>
      <c r="N45"/>
      <c r="O45"/>
      <c r="P45"/>
    </row>
    <row r="46" spans="1:16" s="1" customFormat="1" ht="12.75" customHeight="1" x14ac:dyDescent="0.25">
      <c r="A46" s="57" t="s">
        <v>11</v>
      </c>
      <c r="B46" s="18"/>
      <c r="C46" s="18"/>
      <c r="D46" s="49"/>
      <c r="E46" s="50"/>
      <c r="F46" s="51"/>
      <c r="G46" s="52"/>
      <c r="H46" s="53"/>
      <c r="I46" s="53"/>
      <c r="J46" s="54"/>
      <c r="K46"/>
      <c r="L46"/>
      <c r="M46"/>
      <c r="N46"/>
      <c r="O46"/>
      <c r="P46"/>
    </row>
    <row r="47" spans="1:16" s="1" customFormat="1" x14ac:dyDescent="0.25">
      <c r="A47" s="56" t="s">
        <v>102</v>
      </c>
      <c r="B47" s="57"/>
      <c r="C47" s="58"/>
      <c r="D47" s="58"/>
      <c r="E47" s="59"/>
      <c r="F47" s="51"/>
      <c r="G47" s="58"/>
      <c r="H47" s="53"/>
      <c r="I47" s="53"/>
      <c r="J47" s="54"/>
      <c r="K47"/>
      <c r="L47"/>
      <c r="M47"/>
      <c r="N47"/>
      <c r="O47"/>
      <c r="P47"/>
    </row>
    <row r="48" spans="1:16" s="1" customFormat="1" ht="12.75" customHeight="1" x14ac:dyDescent="0.25">
      <c r="A48" s="25" t="s">
        <v>35</v>
      </c>
      <c r="B48" s="28" t="s">
        <v>103</v>
      </c>
      <c r="C48" s="335" t="s">
        <v>38</v>
      </c>
      <c r="D48" s="336"/>
      <c r="E48" s="42" t="s">
        <v>40</v>
      </c>
      <c r="F48" s="43" t="s">
        <v>3038</v>
      </c>
      <c r="G48"/>
      <c r="H48"/>
      <c r="I48"/>
      <c r="J48"/>
      <c r="K48"/>
      <c r="L48"/>
    </row>
    <row r="49" spans="1:12" s="1" customFormat="1" ht="12.75" customHeight="1" x14ac:dyDescent="0.25">
      <c r="A49" s="32"/>
      <c r="B49" s="32"/>
      <c r="C49" s="33" t="s">
        <v>44</v>
      </c>
      <c r="D49" s="33" t="s">
        <v>45</v>
      </c>
      <c r="E49" s="33"/>
      <c r="F49" s="44"/>
      <c r="G49"/>
      <c r="H49"/>
      <c r="I49"/>
      <c r="J49"/>
      <c r="K49"/>
      <c r="L49"/>
    </row>
    <row r="50" spans="1:12" s="1" customFormat="1" ht="12.75" customHeight="1" x14ac:dyDescent="0.25">
      <c r="A50" s="60" t="s">
        <v>5551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f>IFERROR(_xlfn.XLOOKUP(E50,Index!$A:$A,Index!$B:$B),"")</f>
        <v>6.5</v>
      </c>
      <c r="G50"/>
      <c r="H50"/>
      <c r="I50"/>
      <c r="J50"/>
      <c r="K50"/>
      <c r="L50"/>
    </row>
    <row r="51" spans="1:12" s="55" customFormat="1" x14ac:dyDescent="0.25">
      <c r="A51" s="26"/>
      <c r="B51" s="26"/>
      <c r="C51" s="64">
        <v>0.375</v>
      </c>
      <c r="D51" s="45">
        <v>10</v>
      </c>
      <c r="E51" s="35" t="s">
        <v>687</v>
      </c>
      <c r="F51" s="34">
        <f>IFERROR(_xlfn.XLOOKUP(E51,Index!$A:$A,Index!$B:$B),"")</f>
        <v>6.5</v>
      </c>
      <c r="G51"/>
      <c r="H51"/>
      <c r="I51"/>
      <c r="J51"/>
      <c r="K51"/>
      <c r="L51"/>
    </row>
    <row r="52" spans="1:12" s="55" customFormat="1" x14ac:dyDescent="0.25">
      <c r="A52" s="26"/>
      <c r="B52" s="26"/>
      <c r="C52" s="64">
        <v>0.5</v>
      </c>
      <c r="D52" s="45">
        <v>15</v>
      </c>
      <c r="E52" s="35" t="s">
        <v>687</v>
      </c>
      <c r="F52" s="34">
        <f>IFERROR(_xlfn.XLOOKUP(E52,Index!$A:$A,Index!$B:$B),"")</f>
        <v>6.5</v>
      </c>
      <c r="G52"/>
      <c r="H52"/>
      <c r="I52"/>
      <c r="J52"/>
      <c r="K52"/>
      <c r="L52"/>
    </row>
    <row r="53" spans="1:12" s="1" customFormat="1" ht="12.75" customHeight="1" x14ac:dyDescent="0.25">
      <c r="A53" s="26"/>
      <c r="B53" s="26"/>
      <c r="C53" s="64">
        <v>0.75</v>
      </c>
      <c r="D53" s="45">
        <v>20</v>
      </c>
      <c r="E53" s="35" t="s">
        <v>688</v>
      </c>
      <c r="F53" s="34">
        <f>IFERROR(_xlfn.XLOOKUP(E53,Index!$A:$A,Index!$B:$B),"")</f>
        <v>7</v>
      </c>
      <c r="G53"/>
      <c r="H53"/>
      <c r="I53"/>
      <c r="J53"/>
      <c r="K53"/>
      <c r="L53"/>
    </row>
    <row r="54" spans="1:12" s="1" customFormat="1" ht="12.75" customHeight="1" x14ac:dyDescent="0.25">
      <c r="A54" s="26"/>
      <c r="B54" s="26"/>
      <c r="C54" s="64">
        <v>1</v>
      </c>
      <c r="D54" s="45">
        <v>25</v>
      </c>
      <c r="E54" s="35" t="s">
        <v>689</v>
      </c>
      <c r="F54" s="34">
        <f>IFERROR(_xlfn.XLOOKUP(E54,Index!$A:$A,Index!$B:$B),"")</f>
        <v>7</v>
      </c>
      <c r="G54"/>
      <c r="H54"/>
      <c r="I54"/>
      <c r="J54"/>
      <c r="K54"/>
      <c r="L54"/>
    </row>
    <row r="55" spans="1:12" s="1" customFormat="1" ht="12.75" customHeight="1" x14ac:dyDescent="0.25">
      <c r="A55" s="26"/>
      <c r="B55" s="26"/>
      <c r="C55" s="64">
        <v>1.25</v>
      </c>
      <c r="D55" s="45">
        <v>32</v>
      </c>
      <c r="E55" s="35" t="s">
        <v>690</v>
      </c>
      <c r="F55" s="34">
        <f>IFERROR(_xlfn.XLOOKUP(E55,Index!$A:$A,Index!$B:$B),"")</f>
        <v>7</v>
      </c>
      <c r="G55"/>
      <c r="H55"/>
      <c r="I55"/>
      <c r="J55"/>
      <c r="K55"/>
      <c r="L55"/>
    </row>
    <row r="56" spans="1:12" s="1" customFormat="1" ht="12.75" customHeight="1" x14ac:dyDescent="0.25">
      <c r="A56" s="26"/>
      <c r="B56" s="26"/>
      <c r="C56" s="64">
        <v>1.5</v>
      </c>
      <c r="D56" s="45">
        <v>40</v>
      </c>
      <c r="E56" s="35" t="s">
        <v>691</v>
      </c>
      <c r="F56" s="34">
        <f>IFERROR(_xlfn.XLOOKUP(E56,Index!$A:$A,Index!$B:$B),"")</f>
        <v>10</v>
      </c>
      <c r="G56"/>
      <c r="H56"/>
      <c r="I56"/>
      <c r="J56"/>
      <c r="K56"/>
      <c r="L56"/>
    </row>
    <row r="57" spans="1:12" s="1" customFormat="1" ht="12.75" customHeight="1" x14ac:dyDescent="0.25">
      <c r="A57" s="26"/>
      <c r="B57" s="26"/>
      <c r="C57" s="64">
        <v>2</v>
      </c>
      <c r="D57" s="45">
        <v>50</v>
      </c>
      <c r="E57" s="35" t="s">
        <v>692</v>
      </c>
      <c r="F57" s="34">
        <f>IFERROR(_xlfn.XLOOKUP(E57,Index!$A:$A,Index!$B:$B),"")</f>
        <v>14.5</v>
      </c>
      <c r="G57"/>
      <c r="H57"/>
      <c r="I57"/>
      <c r="J57"/>
      <c r="K57"/>
      <c r="L57"/>
    </row>
    <row r="58" spans="1:12" s="1" customFormat="1" ht="12.75" customHeight="1" x14ac:dyDescent="0.25">
      <c r="A58" s="26"/>
      <c r="B58" s="60" t="s">
        <v>210</v>
      </c>
      <c r="C58" s="70">
        <v>0.25</v>
      </c>
      <c r="D58" s="38">
        <v>8</v>
      </c>
      <c r="E58" s="35" t="s">
        <v>6340</v>
      </c>
      <c r="F58" s="34">
        <f>IFERROR(_xlfn.XLOOKUP(E58,Index!$A:$A,Index!$B:$B),"")</f>
        <v>22.25</v>
      </c>
      <c r="G58"/>
      <c r="H58"/>
      <c r="I58"/>
      <c r="J58"/>
      <c r="K58"/>
      <c r="L58"/>
    </row>
    <row r="59" spans="1:12" s="1" customFormat="1" ht="12.75" customHeight="1" x14ac:dyDescent="0.25">
      <c r="A59" s="26"/>
      <c r="B59" s="26"/>
      <c r="C59" s="64">
        <v>0.375</v>
      </c>
      <c r="D59" s="45">
        <v>10</v>
      </c>
      <c r="E59" s="35" t="s">
        <v>6340</v>
      </c>
      <c r="F59" s="34">
        <f>IFERROR(_xlfn.XLOOKUP(E59,Index!$A:$A,Index!$B:$B),"")</f>
        <v>22.25</v>
      </c>
      <c r="G59"/>
      <c r="H59"/>
      <c r="I59"/>
      <c r="J59"/>
      <c r="K59"/>
      <c r="L59"/>
    </row>
    <row r="60" spans="1:12" s="1" customFormat="1" ht="12.75" customHeight="1" x14ac:dyDescent="0.25">
      <c r="A60" s="26"/>
      <c r="B60" s="26"/>
      <c r="C60" s="64">
        <v>0.5</v>
      </c>
      <c r="D60" s="45">
        <v>15</v>
      </c>
      <c r="E60" s="35" t="s">
        <v>6340</v>
      </c>
      <c r="F60" s="34">
        <f>IFERROR(_xlfn.XLOOKUP(E60,Index!$A:$A,Index!$B:$B),"")</f>
        <v>22.25</v>
      </c>
      <c r="G60"/>
      <c r="H60"/>
      <c r="I60"/>
      <c r="J60"/>
      <c r="K60"/>
      <c r="L60"/>
    </row>
    <row r="61" spans="1:12" s="1" customFormat="1" ht="12.75" customHeight="1" x14ac:dyDescent="0.25">
      <c r="A61" s="26"/>
      <c r="B61" s="26"/>
      <c r="C61" s="64">
        <v>0.75</v>
      </c>
      <c r="D61" s="45">
        <v>20</v>
      </c>
      <c r="E61" s="35" t="s">
        <v>693</v>
      </c>
      <c r="F61" s="34">
        <f>IFERROR(_xlfn.XLOOKUP(E61,Index!$A:$A,Index!$B:$B),"")</f>
        <v>24.75</v>
      </c>
      <c r="G61"/>
      <c r="H61"/>
      <c r="I61"/>
      <c r="J61"/>
      <c r="K61"/>
      <c r="L61"/>
    </row>
    <row r="62" spans="1:12" s="1" customFormat="1" ht="12.75" customHeight="1" x14ac:dyDescent="0.25">
      <c r="A62" s="26"/>
      <c r="B62" s="26"/>
      <c r="C62" s="64">
        <v>1</v>
      </c>
      <c r="D62" s="45">
        <v>25</v>
      </c>
      <c r="E62" s="35" t="s">
        <v>694</v>
      </c>
      <c r="F62" s="34">
        <f>IFERROR(_xlfn.XLOOKUP(E62,Index!$A:$A,Index!$B:$B),"")</f>
        <v>24.75</v>
      </c>
      <c r="G62"/>
      <c r="H62"/>
      <c r="I62"/>
      <c r="J62"/>
      <c r="K62"/>
      <c r="L62"/>
    </row>
    <row r="63" spans="1:12" s="1" customFormat="1" ht="12.75" customHeight="1" x14ac:dyDescent="0.25">
      <c r="A63" s="26"/>
      <c r="B63" s="26"/>
      <c r="C63" s="64">
        <v>1.25</v>
      </c>
      <c r="D63" s="45">
        <v>32</v>
      </c>
      <c r="E63" s="35" t="s">
        <v>6341</v>
      </c>
      <c r="F63" s="34">
        <f>IFERROR(_xlfn.XLOOKUP(E63,Index!$A:$A,Index!$B:$B),"")</f>
        <v>24.75</v>
      </c>
      <c r="G63"/>
      <c r="H63"/>
      <c r="I63"/>
      <c r="J63"/>
      <c r="K63"/>
      <c r="L63"/>
    </row>
    <row r="64" spans="1:12" s="1" customFormat="1" ht="12.75" customHeight="1" x14ac:dyDescent="0.25">
      <c r="A64" s="26"/>
      <c r="B64" s="26"/>
      <c r="C64" s="64">
        <v>1.5</v>
      </c>
      <c r="D64" s="45">
        <v>40</v>
      </c>
      <c r="E64" s="35" t="s">
        <v>6342</v>
      </c>
      <c r="F64" s="34">
        <f>IFERROR(_xlfn.XLOOKUP(E64,Index!$A:$A,Index!$B:$B),"")</f>
        <v>29.75</v>
      </c>
      <c r="G64"/>
      <c r="H64"/>
      <c r="I64"/>
      <c r="J64"/>
      <c r="K64"/>
      <c r="L64"/>
    </row>
    <row r="65" spans="1:12" s="1" customFormat="1" ht="12.75" customHeight="1" x14ac:dyDescent="0.25">
      <c r="A65" s="26"/>
      <c r="B65" s="26"/>
      <c r="C65" s="64">
        <v>2</v>
      </c>
      <c r="D65" s="45">
        <v>50</v>
      </c>
      <c r="E65" s="35" t="s">
        <v>695</v>
      </c>
      <c r="F65" s="34">
        <f>IFERROR(_xlfn.XLOOKUP(E65,Index!$A:$A,Index!$B:$B),"")</f>
        <v>33.5</v>
      </c>
      <c r="G65"/>
      <c r="H65"/>
      <c r="I65"/>
      <c r="J65"/>
      <c r="K65"/>
      <c r="L65"/>
    </row>
    <row r="66" spans="1:12" s="1" customFormat="1" ht="12.75" customHeight="1" x14ac:dyDescent="0.25">
      <c r="A66" s="26"/>
      <c r="B66" s="60" t="s">
        <v>122</v>
      </c>
      <c r="C66" s="70">
        <v>0.25</v>
      </c>
      <c r="D66" s="38">
        <v>8</v>
      </c>
      <c r="E66" s="35" t="s">
        <v>696</v>
      </c>
      <c r="F66" s="34">
        <f>IFERROR(_xlfn.XLOOKUP(E66,Index!$A:$A,Index!$B:$B),"")</f>
        <v>63.5</v>
      </c>
      <c r="G66"/>
      <c r="H66"/>
      <c r="I66"/>
      <c r="J66"/>
      <c r="K66"/>
      <c r="L66"/>
    </row>
    <row r="67" spans="1:12" s="1" customFormat="1" ht="12.75" customHeight="1" x14ac:dyDescent="0.25">
      <c r="A67" s="26"/>
      <c r="B67" s="26"/>
      <c r="C67" s="64">
        <v>0.375</v>
      </c>
      <c r="D67" s="45">
        <v>10</v>
      </c>
      <c r="E67" s="35" t="s">
        <v>696</v>
      </c>
      <c r="F67" s="34">
        <f>IFERROR(_xlfn.XLOOKUP(E67,Index!$A:$A,Index!$B:$B),"")</f>
        <v>63.5</v>
      </c>
      <c r="G67"/>
      <c r="H67"/>
      <c r="I67"/>
      <c r="J67"/>
      <c r="K67"/>
      <c r="L67"/>
    </row>
    <row r="68" spans="1:12" s="1" customFormat="1" ht="12.75" customHeight="1" x14ac:dyDescent="0.25">
      <c r="A68" s="26"/>
      <c r="B68" s="26"/>
      <c r="C68" s="64">
        <v>0.5</v>
      </c>
      <c r="D68" s="45">
        <v>15</v>
      </c>
      <c r="E68" s="35" t="s">
        <v>696</v>
      </c>
      <c r="F68" s="34">
        <f>IFERROR(_xlfn.XLOOKUP(E68,Index!$A:$A,Index!$B:$B),"")</f>
        <v>63.5</v>
      </c>
      <c r="G68"/>
      <c r="H68"/>
      <c r="I68"/>
      <c r="J68"/>
      <c r="K68"/>
      <c r="L68"/>
    </row>
    <row r="69" spans="1:12" s="1" customFormat="1" ht="12.75" customHeight="1" x14ac:dyDescent="0.25">
      <c r="A69" s="26"/>
      <c r="B69" s="26"/>
      <c r="C69" s="64">
        <v>0.75</v>
      </c>
      <c r="D69" s="45">
        <v>20</v>
      </c>
      <c r="E69" s="35" t="s">
        <v>697</v>
      </c>
      <c r="F69" s="34">
        <f>IFERROR(_xlfn.XLOOKUP(E69,Index!$A:$A,Index!$B:$B),"")</f>
        <v>80.5</v>
      </c>
      <c r="G69"/>
      <c r="H69"/>
      <c r="I69"/>
      <c r="J69"/>
      <c r="K69"/>
      <c r="L69"/>
    </row>
    <row r="70" spans="1:12" s="1" customFormat="1" ht="12.75" customHeight="1" x14ac:dyDescent="0.25">
      <c r="A70" s="26"/>
      <c r="B70" s="26"/>
      <c r="C70" s="64">
        <v>1</v>
      </c>
      <c r="D70" s="45">
        <v>25</v>
      </c>
      <c r="E70" s="35" t="s">
        <v>698</v>
      </c>
      <c r="F70" s="34">
        <f>IFERROR(_xlfn.XLOOKUP(E70,Index!$A:$A,Index!$B:$B),"")</f>
        <v>80.5</v>
      </c>
      <c r="G70"/>
      <c r="H70"/>
      <c r="I70"/>
      <c r="J70"/>
      <c r="K70"/>
      <c r="L70"/>
    </row>
    <row r="71" spans="1:12" s="1" customFormat="1" ht="12.75" customHeight="1" x14ac:dyDescent="0.25">
      <c r="A71" s="26"/>
      <c r="B71" s="26"/>
      <c r="C71" s="64">
        <v>1.25</v>
      </c>
      <c r="D71" s="45">
        <v>32</v>
      </c>
      <c r="E71" s="35" t="s">
        <v>699</v>
      </c>
      <c r="F71" s="34">
        <f>IFERROR(_xlfn.XLOOKUP(E71,Index!$A:$A,Index!$B:$B),"")</f>
        <v>80.5</v>
      </c>
      <c r="G71"/>
      <c r="H71"/>
      <c r="I71"/>
      <c r="J71"/>
      <c r="K71"/>
      <c r="L71"/>
    </row>
    <row r="72" spans="1:12" s="1" customFormat="1" ht="12.75" customHeight="1" x14ac:dyDescent="0.25">
      <c r="A72" s="26"/>
      <c r="B72" s="26"/>
      <c r="C72" s="64">
        <v>1.5</v>
      </c>
      <c r="D72" s="45">
        <v>40</v>
      </c>
      <c r="E72" s="35" t="s">
        <v>700</v>
      </c>
      <c r="F72" s="34">
        <f>IFERROR(_xlfn.XLOOKUP(E72,Index!$A:$A,Index!$B:$B),"")</f>
        <v>88.5</v>
      </c>
      <c r="G72"/>
      <c r="H72"/>
      <c r="I72"/>
      <c r="J72"/>
      <c r="K72"/>
      <c r="L72"/>
    </row>
    <row r="73" spans="1:12" s="1" customFormat="1" ht="12.75" customHeight="1" x14ac:dyDescent="0.25">
      <c r="A73" s="26"/>
      <c r="B73" s="26"/>
      <c r="C73" s="64">
        <v>2</v>
      </c>
      <c r="D73" s="45">
        <v>50</v>
      </c>
      <c r="E73" s="35" t="s">
        <v>701</v>
      </c>
      <c r="F73" s="34">
        <f>IFERROR(_xlfn.XLOOKUP(E73,Index!$A:$A,Index!$B:$B),"")</f>
        <v>88.5</v>
      </c>
      <c r="G73"/>
      <c r="H73"/>
      <c r="I73"/>
      <c r="J73"/>
      <c r="K73"/>
      <c r="L73"/>
    </row>
    <row r="74" spans="1:12" s="1" customFormat="1" ht="12.75" customHeight="1" x14ac:dyDescent="0.25">
      <c r="A74" s="26"/>
      <c r="B74" s="60" t="s">
        <v>134</v>
      </c>
      <c r="C74" s="70">
        <v>0.25</v>
      </c>
      <c r="D74" s="38">
        <v>8</v>
      </c>
      <c r="E74" s="35" t="s">
        <v>702</v>
      </c>
      <c r="F74" s="34">
        <f>IFERROR(_xlfn.XLOOKUP(E74,Index!$A:$A,Index!$B:$B),"")</f>
        <v>63.5</v>
      </c>
      <c r="G74"/>
      <c r="H74"/>
      <c r="I74"/>
      <c r="J74"/>
      <c r="K74"/>
      <c r="L74"/>
    </row>
    <row r="75" spans="1:12" s="1" customFormat="1" ht="12.75" customHeight="1" x14ac:dyDescent="0.25">
      <c r="A75" s="26"/>
      <c r="B75" s="26"/>
      <c r="C75" s="64">
        <v>0.375</v>
      </c>
      <c r="D75" s="45">
        <v>10</v>
      </c>
      <c r="E75" s="35" t="s">
        <v>702</v>
      </c>
      <c r="F75" s="34">
        <f>IFERROR(_xlfn.XLOOKUP(E75,Index!$A:$A,Index!$B:$B),"")</f>
        <v>63.5</v>
      </c>
      <c r="G75"/>
      <c r="H75"/>
      <c r="I75"/>
      <c r="J75"/>
      <c r="K75"/>
      <c r="L75"/>
    </row>
    <row r="76" spans="1:12" s="1" customFormat="1" ht="12.75" customHeight="1" x14ac:dyDescent="0.25">
      <c r="A76" s="26"/>
      <c r="B76" s="26"/>
      <c r="C76" s="64">
        <v>0.5</v>
      </c>
      <c r="D76" s="45">
        <v>15</v>
      </c>
      <c r="E76" s="35" t="s">
        <v>702</v>
      </c>
      <c r="F76" s="34">
        <f>IFERROR(_xlfn.XLOOKUP(E76,Index!$A:$A,Index!$B:$B),"")</f>
        <v>63.5</v>
      </c>
      <c r="G76"/>
      <c r="H76"/>
      <c r="I76"/>
      <c r="J76"/>
      <c r="K76"/>
      <c r="L76"/>
    </row>
    <row r="77" spans="1:12" s="1" customFormat="1" ht="12.75" customHeight="1" x14ac:dyDescent="0.25">
      <c r="A77" s="26"/>
      <c r="B77" s="26"/>
      <c r="C77" s="64">
        <v>0.75</v>
      </c>
      <c r="D77" s="45">
        <v>20</v>
      </c>
      <c r="E77" s="35" t="s">
        <v>703</v>
      </c>
      <c r="F77" s="34">
        <f>IFERROR(_xlfn.XLOOKUP(E77,Index!$A:$A,Index!$B:$B),"")</f>
        <v>80.5</v>
      </c>
      <c r="G77"/>
      <c r="H77"/>
      <c r="I77"/>
      <c r="J77"/>
      <c r="K77"/>
      <c r="L77"/>
    </row>
    <row r="78" spans="1:12" s="1" customFormat="1" ht="12.75" customHeight="1" x14ac:dyDescent="0.25">
      <c r="A78" s="26"/>
      <c r="B78" s="26"/>
      <c r="C78" s="64">
        <v>1</v>
      </c>
      <c r="D78" s="45">
        <v>25</v>
      </c>
      <c r="E78" s="35" t="s">
        <v>704</v>
      </c>
      <c r="F78" s="34">
        <f>IFERROR(_xlfn.XLOOKUP(E78,Index!$A:$A,Index!$B:$B),"")</f>
        <v>80.5</v>
      </c>
      <c r="G78"/>
      <c r="H78"/>
      <c r="I78"/>
      <c r="J78"/>
      <c r="K78"/>
      <c r="L78"/>
    </row>
    <row r="79" spans="1:12" s="1" customFormat="1" ht="12.75" customHeight="1" x14ac:dyDescent="0.25">
      <c r="A79" s="26"/>
      <c r="B79" s="26"/>
      <c r="C79" s="64">
        <v>1.25</v>
      </c>
      <c r="D79" s="45">
        <v>32</v>
      </c>
      <c r="E79" s="35" t="s">
        <v>705</v>
      </c>
      <c r="F79" s="34">
        <f>IFERROR(_xlfn.XLOOKUP(E79,Index!$A:$A,Index!$B:$B),"")</f>
        <v>80.5</v>
      </c>
      <c r="G79"/>
      <c r="H79"/>
      <c r="I79"/>
      <c r="J79"/>
      <c r="K79"/>
      <c r="L79"/>
    </row>
    <row r="80" spans="1:12" s="1" customFormat="1" ht="12.75" customHeight="1" x14ac:dyDescent="0.25">
      <c r="A80" s="26"/>
      <c r="B80" s="26"/>
      <c r="C80" s="64">
        <v>1.5</v>
      </c>
      <c r="D80" s="45">
        <v>40</v>
      </c>
      <c r="E80" s="35" t="s">
        <v>706</v>
      </c>
      <c r="F80" s="34">
        <f>IFERROR(_xlfn.XLOOKUP(E80,Index!$A:$A,Index!$B:$B),"")</f>
        <v>88.5</v>
      </c>
      <c r="G80"/>
      <c r="H80"/>
      <c r="I80"/>
      <c r="J80"/>
      <c r="K80"/>
      <c r="L80"/>
    </row>
    <row r="81" spans="1:12" s="1" customFormat="1" ht="12.75" customHeight="1" x14ac:dyDescent="0.25">
      <c r="A81" s="26"/>
      <c r="B81" s="26"/>
      <c r="C81" s="64">
        <v>2</v>
      </c>
      <c r="D81" s="45">
        <v>50</v>
      </c>
      <c r="E81" s="35" t="s">
        <v>707</v>
      </c>
      <c r="F81" s="34">
        <f>IFERROR(_xlfn.XLOOKUP(E81,Index!$A:$A,Index!$B:$B),"")</f>
        <v>88.5</v>
      </c>
      <c r="G81"/>
      <c r="H81"/>
      <c r="I81"/>
      <c r="J81"/>
      <c r="K81"/>
      <c r="L81"/>
    </row>
    <row r="82" spans="1:12" s="1" customFormat="1" ht="12.75" customHeight="1" x14ac:dyDescent="0.25">
      <c r="A82" s="26"/>
      <c r="B82" s="60" t="s">
        <v>145</v>
      </c>
      <c r="C82" s="70">
        <v>0.25</v>
      </c>
      <c r="D82" s="38">
        <v>8</v>
      </c>
      <c r="E82" s="35" t="s">
        <v>708</v>
      </c>
      <c r="F82" s="34">
        <f>IFERROR(_xlfn.XLOOKUP(E82,Index!$A:$A,Index!$B:$B),"")</f>
        <v>57.5</v>
      </c>
      <c r="G82"/>
      <c r="H82"/>
      <c r="I82"/>
      <c r="J82"/>
      <c r="K82"/>
      <c r="L82"/>
    </row>
    <row r="83" spans="1:12" s="1" customFormat="1" ht="12.75" customHeight="1" x14ac:dyDescent="0.25">
      <c r="A83" s="26"/>
      <c r="B83" s="26"/>
      <c r="C83" s="64">
        <v>0.375</v>
      </c>
      <c r="D83" s="45">
        <v>10</v>
      </c>
      <c r="E83" s="35" t="s">
        <v>708</v>
      </c>
      <c r="F83" s="34">
        <f>IFERROR(_xlfn.XLOOKUP(E83,Index!$A:$A,Index!$B:$B),"")</f>
        <v>57.5</v>
      </c>
      <c r="G83"/>
      <c r="H83"/>
      <c r="I83"/>
      <c r="J83"/>
      <c r="K83"/>
      <c r="L83"/>
    </row>
    <row r="84" spans="1:12" s="1" customFormat="1" ht="12.75" customHeight="1" x14ac:dyDescent="0.25">
      <c r="A84" s="26"/>
      <c r="B84" s="26"/>
      <c r="C84" s="64">
        <v>0.5</v>
      </c>
      <c r="D84" s="45">
        <v>15</v>
      </c>
      <c r="E84" s="35" t="s">
        <v>708</v>
      </c>
      <c r="F84" s="34">
        <f>IFERROR(_xlfn.XLOOKUP(E84,Index!$A:$A,Index!$B:$B),"")</f>
        <v>57.5</v>
      </c>
      <c r="G84"/>
      <c r="H84"/>
      <c r="I84"/>
      <c r="J84"/>
      <c r="K84"/>
      <c r="L84"/>
    </row>
    <row r="85" spans="1:12" s="1" customFormat="1" ht="12.75" customHeight="1" x14ac:dyDescent="0.25">
      <c r="A85" s="26"/>
      <c r="B85" s="26"/>
      <c r="C85" s="64">
        <v>0.75</v>
      </c>
      <c r="D85" s="45">
        <v>20</v>
      </c>
      <c r="E85" s="35" t="s">
        <v>2849</v>
      </c>
      <c r="F85" s="34">
        <f>IFERROR(_xlfn.XLOOKUP(E85,Index!$A:$A,Index!$B:$B),"")</f>
        <v>80.5</v>
      </c>
      <c r="G85"/>
      <c r="H85"/>
      <c r="I85"/>
      <c r="J85"/>
      <c r="K85"/>
      <c r="L85"/>
    </row>
    <row r="86" spans="1:12" s="1" customFormat="1" ht="12.75" customHeight="1" x14ac:dyDescent="0.25">
      <c r="A86" s="26"/>
      <c r="B86" s="26"/>
      <c r="C86" s="64">
        <v>1</v>
      </c>
      <c r="D86" s="45">
        <v>25</v>
      </c>
      <c r="E86" s="35" t="s">
        <v>709</v>
      </c>
      <c r="F86" s="34">
        <f>IFERROR(_xlfn.XLOOKUP(E86,Index!$A:$A,Index!$B:$B),"")</f>
        <v>80.5</v>
      </c>
      <c r="G86"/>
      <c r="H86"/>
      <c r="I86"/>
      <c r="J86"/>
      <c r="K86"/>
      <c r="L86"/>
    </row>
    <row r="87" spans="1:12" s="1" customFormat="1" ht="12.75" customHeight="1" x14ac:dyDescent="0.25">
      <c r="A87" s="26"/>
      <c r="B87" s="26"/>
      <c r="C87" s="64">
        <v>1.25</v>
      </c>
      <c r="D87" s="45">
        <v>32</v>
      </c>
      <c r="E87" s="35" t="s">
        <v>710</v>
      </c>
      <c r="F87" s="34">
        <f>IFERROR(_xlfn.XLOOKUP(E87,Index!$A:$A,Index!$B:$B),"")</f>
        <v>80.5</v>
      </c>
      <c r="G87"/>
      <c r="H87"/>
      <c r="I87"/>
      <c r="J87"/>
      <c r="K87"/>
      <c r="L87"/>
    </row>
    <row r="88" spans="1:12" s="1" customFormat="1" ht="12.75" customHeight="1" x14ac:dyDescent="0.25">
      <c r="A88" s="26"/>
      <c r="B88" s="26"/>
      <c r="C88" s="64">
        <v>1.5</v>
      </c>
      <c r="D88" s="45">
        <v>40</v>
      </c>
      <c r="E88" s="35" t="s">
        <v>711</v>
      </c>
      <c r="F88" s="34">
        <f>IFERROR(_xlfn.XLOOKUP(E88,Index!$A:$A,Index!$B:$B),"")</f>
        <v>88.5</v>
      </c>
      <c r="G88"/>
      <c r="H88"/>
      <c r="I88"/>
      <c r="J88"/>
      <c r="K88"/>
      <c r="L88"/>
    </row>
    <row r="89" spans="1:12" s="1" customFormat="1" ht="12.75" customHeight="1" x14ac:dyDescent="0.25">
      <c r="A89" s="26"/>
      <c r="B89" s="26"/>
      <c r="C89" s="64">
        <v>2</v>
      </c>
      <c r="D89" s="45">
        <v>50</v>
      </c>
      <c r="E89" s="35" t="s">
        <v>712</v>
      </c>
      <c r="F89" s="34">
        <f>IFERROR(_xlfn.XLOOKUP(E89,Index!$A:$A,Index!$B:$B),"")</f>
        <v>88.5</v>
      </c>
      <c r="G89"/>
      <c r="H89"/>
      <c r="I89"/>
      <c r="J89"/>
      <c r="K89"/>
      <c r="L89"/>
    </row>
    <row r="90" spans="1:12" s="1" customFormat="1" ht="12.75" customHeight="1" x14ac:dyDescent="0.25">
      <c r="A90" s="26"/>
      <c r="B90" s="60" t="s">
        <v>155</v>
      </c>
      <c r="C90" s="70">
        <v>0.25</v>
      </c>
      <c r="D90" s="38">
        <v>8</v>
      </c>
      <c r="E90" s="35" t="s">
        <v>713</v>
      </c>
      <c r="F90" s="34">
        <f>IFERROR(_xlfn.XLOOKUP(E90,Index!$A:$A,Index!$B:$B),"")</f>
        <v>57.5</v>
      </c>
      <c r="G90"/>
      <c r="H90"/>
      <c r="I90"/>
      <c r="J90"/>
      <c r="K90"/>
      <c r="L90"/>
    </row>
    <row r="91" spans="1:12" s="1" customFormat="1" ht="12.75" customHeight="1" x14ac:dyDescent="0.25">
      <c r="A91" s="26"/>
      <c r="B91" s="26"/>
      <c r="C91" s="64">
        <v>0.375</v>
      </c>
      <c r="D91" s="45">
        <v>10</v>
      </c>
      <c r="E91" s="35" t="s">
        <v>713</v>
      </c>
      <c r="F91" s="34">
        <f>IFERROR(_xlfn.XLOOKUP(E91,Index!$A:$A,Index!$B:$B),"")</f>
        <v>57.5</v>
      </c>
      <c r="G91"/>
      <c r="H91"/>
      <c r="I91"/>
      <c r="J91"/>
      <c r="K91"/>
      <c r="L91"/>
    </row>
    <row r="92" spans="1:12" s="1" customFormat="1" ht="12.75" customHeight="1" x14ac:dyDescent="0.25">
      <c r="A92" s="26"/>
      <c r="B92" s="26"/>
      <c r="C92" s="64">
        <v>0.5</v>
      </c>
      <c r="D92" s="45">
        <v>15</v>
      </c>
      <c r="E92" s="35" t="s">
        <v>713</v>
      </c>
      <c r="F92" s="34">
        <f>IFERROR(_xlfn.XLOOKUP(E92,Index!$A:$A,Index!$B:$B),"")</f>
        <v>57.5</v>
      </c>
      <c r="G92"/>
      <c r="H92"/>
      <c r="I92"/>
      <c r="J92"/>
      <c r="K92"/>
      <c r="L92"/>
    </row>
    <row r="93" spans="1:12" s="1" customFormat="1" ht="12.75" customHeight="1" x14ac:dyDescent="0.25">
      <c r="A93" s="26"/>
      <c r="B93" s="26"/>
      <c r="C93" s="64">
        <v>0.75</v>
      </c>
      <c r="D93" s="45">
        <v>20</v>
      </c>
      <c r="E93" s="35" t="s">
        <v>714</v>
      </c>
      <c r="F93" s="34">
        <f>IFERROR(_xlfn.XLOOKUP(E93,Index!$A:$A,Index!$B:$B),"")</f>
        <v>80.5</v>
      </c>
      <c r="G93"/>
      <c r="H93"/>
      <c r="I93"/>
      <c r="J93"/>
      <c r="K93"/>
      <c r="L93"/>
    </row>
    <row r="94" spans="1:12" s="1" customFormat="1" ht="12.75" customHeight="1" x14ac:dyDescent="0.25">
      <c r="A94" s="26"/>
      <c r="B94" s="26"/>
      <c r="C94" s="64">
        <v>1</v>
      </c>
      <c r="D94" s="45">
        <v>25</v>
      </c>
      <c r="E94" s="35" t="s">
        <v>715</v>
      </c>
      <c r="F94" s="34">
        <f>IFERROR(_xlfn.XLOOKUP(E94,Index!$A:$A,Index!$B:$B),"")</f>
        <v>80.5</v>
      </c>
      <c r="G94"/>
      <c r="H94"/>
      <c r="I94"/>
      <c r="J94"/>
      <c r="K94"/>
      <c r="L94"/>
    </row>
    <row r="95" spans="1:12" s="1" customFormat="1" ht="12.75" customHeight="1" x14ac:dyDescent="0.25">
      <c r="A95" s="26"/>
      <c r="B95" s="26"/>
      <c r="C95" s="64">
        <v>1.25</v>
      </c>
      <c r="D95" s="45">
        <v>32</v>
      </c>
      <c r="E95" s="35" t="s">
        <v>716</v>
      </c>
      <c r="F95" s="34">
        <f>IFERROR(_xlfn.XLOOKUP(E95,Index!$A:$A,Index!$B:$B),"")</f>
        <v>80.5</v>
      </c>
      <c r="G95"/>
      <c r="H95"/>
      <c r="I95"/>
      <c r="J95"/>
      <c r="K95"/>
      <c r="L95"/>
    </row>
    <row r="96" spans="1:12" s="1" customFormat="1" ht="12.75" customHeight="1" x14ac:dyDescent="0.25">
      <c r="A96" s="26"/>
      <c r="B96" s="26"/>
      <c r="C96" s="64">
        <v>1.5</v>
      </c>
      <c r="D96" s="45">
        <v>40</v>
      </c>
      <c r="E96" s="35" t="s">
        <v>717</v>
      </c>
      <c r="F96" s="34">
        <f>IFERROR(_xlfn.XLOOKUP(E96,Index!$A:$A,Index!$B:$B),"")</f>
        <v>88.5</v>
      </c>
      <c r="G96"/>
      <c r="H96"/>
      <c r="I96"/>
      <c r="J96"/>
      <c r="K96"/>
      <c r="L96"/>
    </row>
    <row r="97" spans="1:16" s="1" customFormat="1" ht="12.75" customHeight="1" x14ac:dyDescent="0.25">
      <c r="A97" s="26"/>
      <c r="B97" s="27"/>
      <c r="C97" s="64">
        <v>2</v>
      </c>
      <c r="D97" s="45">
        <v>50</v>
      </c>
      <c r="E97" s="35" t="s">
        <v>718</v>
      </c>
      <c r="F97" s="34">
        <f>IFERROR(_xlfn.XLOOKUP(E97,Index!$A:$A,Index!$B:$B),"")</f>
        <v>88.5</v>
      </c>
      <c r="G97"/>
      <c r="H97"/>
      <c r="I97"/>
      <c r="J97"/>
      <c r="K97"/>
      <c r="L97"/>
    </row>
    <row r="98" spans="1:16" s="1" customFormat="1" ht="12.75" customHeight="1" x14ac:dyDescent="0.25">
      <c r="A98" s="26"/>
      <c r="B98" s="60" t="s">
        <v>719</v>
      </c>
      <c r="C98" s="70">
        <v>0.25</v>
      </c>
      <c r="D98" s="38">
        <v>8</v>
      </c>
      <c r="E98" s="35" t="s">
        <v>168</v>
      </c>
      <c r="F98" s="34">
        <f>IFERROR(_xlfn.XLOOKUP(E98,Index!$A:$A,Index!$B:$B),"")</f>
        <v>2.75</v>
      </c>
      <c r="G98"/>
      <c r="H98"/>
      <c r="I98"/>
      <c r="J98"/>
      <c r="K98"/>
      <c r="L98"/>
    </row>
    <row r="99" spans="1:16" s="1" customFormat="1" ht="12.75" customHeight="1" x14ac:dyDescent="0.25">
      <c r="A99" s="26"/>
      <c r="B99" s="26"/>
      <c r="C99" s="64">
        <v>0.375</v>
      </c>
      <c r="D99" s="45">
        <v>10</v>
      </c>
      <c r="E99" s="35" t="s">
        <v>168</v>
      </c>
      <c r="F99" s="34">
        <f>IFERROR(_xlfn.XLOOKUP(E99,Index!$A:$A,Index!$B:$B),"")</f>
        <v>2.75</v>
      </c>
      <c r="G99"/>
      <c r="H99"/>
      <c r="I99"/>
      <c r="J99"/>
      <c r="K99"/>
      <c r="L99"/>
    </row>
    <row r="100" spans="1:16" s="1" customFormat="1" ht="12.75" customHeight="1" x14ac:dyDescent="0.25">
      <c r="A100" s="26"/>
      <c r="B100" s="26"/>
      <c r="C100" s="64">
        <v>0.5</v>
      </c>
      <c r="D100" s="45">
        <v>15</v>
      </c>
      <c r="E100" s="35" t="s">
        <v>168</v>
      </c>
      <c r="F100" s="34">
        <f>IFERROR(_xlfn.XLOOKUP(E100,Index!$A:$A,Index!$B:$B),"")</f>
        <v>2.75</v>
      </c>
      <c r="G100"/>
      <c r="H100"/>
      <c r="I100"/>
      <c r="J100"/>
      <c r="K100"/>
      <c r="L100"/>
    </row>
    <row r="101" spans="1:16" s="1" customFormat="1" ht="12.75" customHeight="1" x14ac:dyDescent="0.25">
      <c r="A101" s="26"/>
      <c r="B101" s="26"/>
      <c r="C101" s="64">
        <v>0.75</v>
      </c>
      <c r="D101" s="45">
        <v>20</v>
      </c>
      <c r="E101" s="35" t="s">
        <v>169</v>
      </c>
      <c r="F101" s="34">
        <f>IFERROR(_xlfn.XLOOKUP(E101,Index!$A:$A,Index!$B:$B),"")</f>
        <v>6</v>
      </c>
      <c r="G101"/>
      <c r="H101"/>
      <c r="I101"/>
      <c r="J101"/>
      <c r="K101"/>
      <c r="L101"/>
    </row>
    <row r="102" spans="1:16" s="1" customFormat="1" ht="12.75" customHeight="1" x14ac:dyDescent="0.25">
      <c r="A102" s="26"/>
      <c r="B102" s="26"/>
      <c r="C102" s="64">
        <v>1</v>
      </c>
      <c r="D102" s="45">
        <v>25</v>
      </c>
      <c r="E102" s="35" t="s">
        <v>169</v>
      </c>
      <c r="F102" s="34">
        <f>IFERROR(_xlfn.XLOOKUP(E102,Index!$A:$A,Index!$B:$B),"")</f>
        <v>6</v>
      </c>
      <c r="G102"/>
      <c r="H102"/>
      <c r="I102"/>
      <c r="J102"/>
      <c r="K102"/>
      <c r="L102"/>
    </row>
    <row r="103" spans="1:16" s="1" customFormat="1" ht="12.75" customHeight="1" x14ac:dyDescent="0.25">
      <c r="A103" s="26"/>
      <c r="B103" s="26"/>
      <c r="C103" s="64">
        <v>1.25</v>
      </c>
      <c r="D103" s="45">
        <v>32</v>
      </c>
      <c r="E103" s="35" t="s">
        <v>170</v>
      </c>
      <c r="F103" s="34">
        <f>IFERROR(_xlfn.XLOOKUP(E103,Index!$A:$A,Index!$B:$B),"")</f>
        <v>7.75</v>
      </c>
      <c r="G103"/>
      <c r="H103"/>
      <c r="I103"/>
      <c r="J103"/>
      <c r="K103"/>
      <c r="L103"/>
    </row>
    <row r="104" spans="1:16" s="1" customFormat="1" ht="12.75" customHeight="1" x14ac:dyDescent="0.25">
      <c r="A104" s="26"/>
      <c r="B104" s="26"/>
      <c r="C104" s="64">
        <v>1.5</v>
      </c>
      <c r="D104" s="45">
        <v>40</v>
      </c>
      <c r="E104" s="35" t="s">
        <v>170</v>
      </c>
      <c r="F104" s="34">
        <f>IFERROR(_xlfn.XLOOKUP(E104,Index!$A:$A,Index!$B:$B),"")</f>
        <v>7.75</v>
      </c>
      <c r="G104"/>
      <c r="H104"/>
      <c r="I104"/>
      <c r="J104"/>
      <c r="K104"/>
      <c r="L104"/>
    </row>
    <row r="105" spans="1:16" s="1" customFormat="1" ht="12.75" customHeight="1" x14ac:dyDescent="0.25">
      <c r="A105" s="27"/>
      <c r="B105" s="27"/>
      <c r="C105" s="64">
        <v>2</v>
      </c>
      <c r="D105" s="45">
        <v>50</v>
      </c>
      <c r="E105" s="35" t="s">
        <v>365</v>
      </c>
      <c r="F105" s="34">
        <f>IFERROR(_xlfn.XLOOKUP(E105,Index!$A:$A,Index!$B:$B),"")</f>
        <v>9.75</v>
      </c>
      <c r="G105"/>
      <c r="H105"/>
      <c r="I105"/>
      <c r="J105"/>
      <c r="K105"/>
      <c r="L105"/>
    </row>
    <row r="107" spans="1:16" s="1" customFormat="1" ht="15.75" x14ac:dyDescent="0.25">
      <c r="A107" s="62" t="s">
        <v>720</v>
      </c>
      <c r="B107" s="62" t="s">
        <v>650</v>
      </c>
      <c r="C107" s="14"/>
      <c r="D107" s="3"/>
      <c r="E107" s="8"/>
      <c r="F107" s="9"/>
      <c r="G107" s="10"/>
      <c r="H107" s="19"/>
      <c r="I107" s="19"/>
      <c r="J107" s="20"/>
      <c r="K107"/>
      <c r="L107"/>
      <c r="M107"/>
      <c r="N107"/>
      <c r="O107"/>
      <c r="P107"/>
    </row>
    <row r="108" spans="1:16" s="1" customFormat="1" ht="15.75" x14ac:dyDescent="0.25">
      <c r="A108" s="48" t="s">
        <v>721</v>
      </c>
      <c r="B108" s="11"/>
      <c r="C108" s="4"/>
      <c r="D108" s="4"/>
      <c r="E108" s="5"/>
      <c r="F108" s="9"/>
      <c r="G108" s="4"/>
      <c r="H108" s="19"/>
      <c r="I108" s="19"/>
      <c r="J108" s="20"/>
      <c r="K108"/>
      <c r="L108"/>
      <c r="M108"/>
      <c r="N108"/>
      <c r="O108"/>
      <c r="P108"/>
    </row>
    <row r="109" spans="1:16" s="1" customFormat="1" ht="12.75" customHeight="1" x14ac:dyDescent="0.25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  <c r="K109"/>
      <c r="L109"/>
      <c r="M109"/>
      <c r="N109"/>
      <c r="O109"/>
      <c r="P109"/>
    </row>
    <row r="110" spans="1:16" s="1" customFormat="1" ht="12.75" customHeight="1" x14ac:dyDescent="0.25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  <c r="K110"/>
      <c r="L110"/>
      <c r="M110"/>
      <c r="N110"/>
      <c r="O110"/>
      <c r="P110"/>
    </row>
    <row r="111" spans="1:16" s="1" customFormat="1" ht="12.75" customHeight="1" x14ac:dyDescent="0.25">
      <c r="A111" s="26" t="s">
        <v>722</v>
      </c>
      <c r="B111" s="26" t="s">
        <v>723</v>
      </c>
      <c r="C111" s="30" t="s">
        <v>50</v>
      </c>
      <c r="D111" s="35" t="s">
        <v>508</v>
      </c>
      <c r="E111" s="64">
        <v>0.5</v>
      </c>
      <c r="F111" s="37">
        <v>15</v>
      </c>
      <c r="G111" s="35">
        <v>2</v>
      </c>
      <c r="H111" s="40">
        <v>0.9</v>
      </c>
      <c r="I111" s="38" t="s">
        <v>724</v>
      </c>
      <c r="J111" s="34">
        <f>IFERROR(_xlfn.XLOOKUP(I111,Index!$A:$A,Index!$B:$B),"")</f>
        <v>131</v>
      </c>
      <c r="K111"/>
      <c r="L111"/>
      <c r="M111"/>
      <c r="N111"/>
      <c r="O111"/>
      <c r="P111"/>
    </row>
    <row r="112" spans="1:16" s="1" customFormat="1" x14ac:dyDescent="0.25">
      <c r="A112" s="26"/>
      <c r="B112" s="26"/>
      <c r="C112" s="30"/>
      <c r="D112" s="35" t="s">
        <v>53</v>
      </c>
      <c r="E112" s="64">
        <v>0.5</v>
      </c>
      <c r="F112" s="37">
        <v>15</v>
      </c>
      <c r="G112" s="35">
        <v>2</v>
      </c>
      <c r="H112" s="40">
        <v>0.9</v>
      </c>
      <c r="I112" s="38" t="s">
        <v>725</v>
      </c>
      <c r="J112" s="34">
        <f>IFERROR(_xlfn.XLOOKUP(I112,Index!$A:$A,Index!$B:$B),"")</f>
        <v>138</v>
      </c>
      <c r="K112"/>
      <c r="L112"/>
      <c r="M112"/>
      <c r="N112"/>
      <c r="O112"/>
      <c r="P112"/>
    </row>
    <row r="113" spans="1:16" s="1" customFormat="1" x14ac:dyDescent="0.25">
      <c r="A113" s="26"/>
      <c r="B113" s="26"/>
      <c r="C113" s="30"/>
      <c r="D113" s="35" t="s">
        <v>55</v>
      </c>
      <c r="E113" s="64">
        <v>0.5</v>
      </c>
      <c r="F113" s="37">
        <v>15</v>
      </c>
      <c r="G113" s="35">
        <v>2</v>
      </c>
      <c r="H113" s="40">
        <v>0.9</v>
      </c>
      <c r="I113" s="38" t="s">
        <v>726</v>
      </c>
      <c r="J113" s="34">
        <f>IFERROR(_xlfn.XLOOKUP(I113,Index!$A:$A,Index!$B:$B),"")</f>
        <v>138</v>
      </c>
      <c r="K113"/>
      <c r="L113"/>
      <c r="M113"/>
      <c r="N113"/>
      <c r="O113"/>
      <c r="P113"/>
    </row>
    <row r="114" spans="1:16" s="1" customFormat="1" ht="12.75" customHeight="1" x14ac:dyDescent="0.25">
      <c r="A114" s="26"/>
      <c r="B114" s="26"/>
      <c r="C114" s="30"/>
      <c r="D114" s="35" t="s">
        <v>508</v>
      </c>
      <c r="E114" s="64">
        <v>0.75</v>
      </c>
      <c r="F114" s="37">
        <v>20</v>
      </c>
      <c r="G114" s="35">
        <v>3</v>
      </c>
      <c r="H114" s="40">
        <v>1.4</v>
      </c>
      <c r="I114" s="38" t="s">
        <v>727</v>
      </c>
      <c r="J114" s="34">
        <f>IFERROR(_xlfn.XLOOKUP(I114,Index!$A:$A,Index!$B:$B),"")</f>
        <v>153.5</v>
      </c>
      <c r="K114"/>
      <c r="L114"/>
      <c r="M114"/>
      <c r="N114"/>
      <c r="O114"/>
      <c r="P114"/>
    </row>
    <row r="115" spans="1:16" s="1" customFormat="1" ht="12.75" customHeight="1" x14ac:dyDescent="0.25">
      <c r="A115" s="26"/>
      <c r="B115" s="26"/>
      <c r="C115" s="30"/>
      <c r="D115" s="35" t="s">
        <v>53</v>
      </c>
      <c r="E115" s="64">
        <v>0.75</v>
      </c>
      <c r="F115" s="37">
        <v>20</v>
      </c>
      <c r="G115" s="35">
        <v>3</v>
      </c>
      <c r="H115" s="40">
        <v>1.4</v>
      </c>
      <c r="I115" s="38" t="s">
        <v>728</v>
      </c>
      <c r="J115" s="34">
        <f>IFERROR(_xlfn.XLOOKUP(I115,Index!$A:$A,Index!$B:$B),"")</f>
        <v>161</v>
      </c>
      <c r="K115"/>
      <c r="L115"/>
      <c r="M115"/>
      <c r="N115"/>
      <c r="O115"/>
      <c r="P115"/>
    </row>
    <row r="116" spans="1:16" s="1" customFormat="1" ht="12.75" customHeight="1" x14ac:dyDescent="0.25">
      <c r="A116" s="26"/>
      <c r="B116" s="26"/>
      <c r="C116" s="30"/>
      <c r="D116" s="35" t="s">
        <v>55</v>
      </c>
      <c r="E116" s="64">
        <v>0.75</v>
      </c>
      <c r="F116" s="37">
        <v>20</v>
      </c>
      <c r="G116" s="35">
        <v>3</v>
      </c>
      <c r="H116" s="40">
        <v>1.4</v>
      </c>
      <c r="I116" s="38" t="s">
        <v>729</v>
      </c>
      <c r="J116" s="34">
        <f>IFERROR(_xlfn.XLOOKUP(I116,Index!$A:$A,Index!$B:$B),"")</f>
        <v>161</v>
      </c>
      <c r="K116"/>
      <c r="L116"/>
      <c r="M116"/>
      <c r="N116"/>
      <c r="O116"/>
      <c r="P116"/>
    </row>
    <row r="117" spans="1:16" s="1" customFormat="1" ht="12.75" customHeight="1" x14ac:dyDescent="0.25">
      <c r="A117" s="26"/>
      <c r="B117" s="26"/>
      <c r="C117" s="30"/>
      <c r="D117" s="35" t="s">
        <v>508</v>
      </c>
      <c r="E117" s="36">
        <v>1</v>
      </c>
      <c r="F117" s="37">
        <v>25</v>
      </c>
      <c r="G117" s="35">
        <v>5</v>
      </c>
      <c r="H117" s="40">
        <v>2.2999999999999998</v>
      </c>
      <c r="I117" s="38" t="s">
        <v>730</v>
      </c>
      <c r="J117" s="34">
        <f>IFERROR(_xlfn.XLOOKUP(I117,Index!$A:$A,Index!$B:$B),"")</f>
        <v>201.5</v>
      </c>
      <c r="K117"/>
      <c r="L117"/>
      <c r="M117"/>
      <c r="N117"/>
      <c r="O117"/>
      <c r="P117"/>
    </row>
    <row r="118" spans="1:16" s="1" customFormat="1" ht="12.75" customHeight="1" x14ac:dyDescent="0.25">
      <c r="A118" s="26"/>
      <c r="B118" s="26"/>
      <c r="C118" s="30"/>
      <c r="D118" s="35" t="s">
        <v>53</v>
      </c>
      <c r="E118" s="36">
        <v>1</v>
      </c>
      <c r="F118" s="37">
        <v>25</v>
      </c>
      <c r="G118" s="35">
        <v>5</v>
      </c>
      <c r="H118" s="40">
        <v>2.2999999999999998</v>
      </c>
      <c r="I118" s="38" t="s">
        <v>731</v>
      </c>
      <c r="J118" s="34">
        <f>IFERROR(_xlfn.XLOOKUP(I118,Index!$A:$A,Index!$B:$B),"")</f>
        <v>212</v>
      </c>
      <c r="K118"/>
      <c r="L118"/>
      <c r="M118"/>
      <c r="N118"/>
      <c r="O118"/>
      <c r="P118"/>
    </row>
    <row r="119" spans="1:16" s="1" customFormat="1" ht="12.75" customHeight="1" x14ac:dyDescent="0.25">
      <c r="A119" s="26"/>
      <c r="B119" s="26"/>
      <c r="C119" s="30"/>
      <c r="D119" s="35" t="s">
        <v>55</v>
      </c>
      <c r="E119" s="36">
        <v>1</v>
      </c>
      <c r="F119" s="37">
        <v>25</v>
      </c>
      <c r="G119" s="35">
        <v>5</v>
      </c>
      <c r="H119" s="40">
        <v>2.2999999999999998</v>
      </c>
      <c r="I119" s="38" t="s">
        <v>732</v>
      </c>
      <c r="J119" s="34">
        <f>IFERROR(_xlfn.XLOOKUP(I119,Index!$A:$A,Index!$B:$B),"")</f>
        <v>212</v>
      </c>
      <c r="K119"/>
      <c r="L119"/>
      <c r="M119"/>
      <c r="N119"/>
      <c r="O119"/>
      <c r="P119"/>
    </row>
    <row r="120" spans="1:16" s="1" customFormat="1" ht="12.75" customHeight="1" x14ac:dyDescent="0.25">
      <c r="A120" s="26"/>
      <c r="B120" s="26"/>
      <c r="C120" s="30"/>
      <c r="D120" s="35" t="s">
        <v>508</v>
      </c>
      <c r="E120" s="64">
        <v>1.25</v>
      </c>
      <c r="F120" s="37">
        <v>32</v>
      </c>
      <c r="G120" s="35">
        <v>7</v>
      </c>
      <c r="H120" s="40">
        <v>3.2</v>
      </c>
      <c r="I120" s="38" t="s">
        <v>733</v>
      </c>
      <c r="J120" s="34">
        <f>IFERROR(_xlfn.XLOOKUP(I120,Index!$A:$A,Index!$B:$B),"")</f>
        <v>272.5</v>
      </c>
      <c r="K120"/>
      <c r="L120"/>
      <c r="M120"/>
      <c r="N120"/>
      <c r="O120"/>
      <c r="P120"/>
    </row>
    <row r="121" spans="1:16" s="1" customFormat="1" ht="12.75" customHeight="1" x14ac:dyDescent="0.25">
      <c r="A121" s="26"/>
      <c r="B121" s="26"/>
      <c r="C121" s="30"/>
      <c r="D121" s="35" t="s">
        <v>53</v>
      </c>
      <c r="E121" s="64">
        <v>1.25</v>
      </c>
      <c r="F121" s="37">
        <v>32</v>
      </c>
      <c r="G121" s="35">
        <v>7</v>
      </c>
      <c r="H121" s="40">
        <v>3.2</v>
      </c>
      <c r="I121" s="38" t="s">
        <v>5542</v>
      </c>
      <c r="J121" s="34">
        <f>J122</f>
        <v>286.5</v>
      </c>
      <c r="K121"/>
      <c r="L121"/>
      <c r="M121"/>
      <c r="N121"/>
      <c r="O121"/>
      <c r="P121"/>
    </row>
    <row r="122" spans="1:16" s="1" customFormat="1" ht="12.75" customHeight="1" x14ac:dyDescent="0.25">
      <c r="A122" s="26"/>
      <c r="B122" s="26"/>
      <c r="C122" s="30"/>
      <c r="D122" s="35" t="s">
        <v>55</v>
      </c>
      <c r="E122" s="64">
        <v>1.25</v>
      </c>
      <c r="F122" s="37">
        <v>32</v>
      </c>
      <c r="G122" s="35">
        <v>7</v>
      </c>
      <c r="H122" s="40">
        <v>3.2</v>
      </c>
      <c r="I122" s="38" t="s">
        <v>735</v>
      </c>
      <c r="J122" s="34">
        <f>IFERROR(_xlfn.XLOOKUP(I122,Index!$A:$A,Index!$B:$B),"")</f>
        <v>286.5</v>
      </c>
      <c r="K122"/>
      <c r="L122"/>
      <c r="M122"/>
      <c r="N122"/>
      <c r="O122"/>
      <c r="P122"/>
    </row>
    <row r="123" spans="1:16" s="1" customFormat="1" ht="12.75" customHeight="1" x14ac:dyDescent="0.25">
      <c r="A123" s="26"/>
      <c r="B123" s="26"/>
      <c r="C123" s="30"/>
      <c r="D123" s="35" t="s">
        <v>508</v>
      </c>
      <c r="E123" s="64">
        <v>1.5</v>
      </c>
      <c r="F123" s="37">
        <v>40</v>
      </c>
      <c r="G123" s="35">
        <v>10</v>
      </c>
      <c r="H123" s="40">
        <v>4.5</v>
      </c>
      <c r="I123" s="38" t="s">
        <v>736</v>
      </c>
      <c r="J123" s="34">
        <f>IFERROR(_xlfn.XLOOKUP(I123,Index!$A:$A,Index!$B:$B),"")</f>
        <v>337</v>
      </c>
      <c r="K123"/>
      <c r="L123"/>
      <c r="M123"/>
      <c r="N123"/>
      <c r="O123"/>
      <c r="P123"/>
    </row>
    <row r="124" spans="1:16" s="1" customFormat="1" ht="12.75" customHeight="1" x14ac:dyDescent="0.25">
      <c r="A124" s="26"/>
      <c r="B124" s="26"/>
      <c r="C124" s="30"/>
      <c r="D124" s="35" t="s">
        <v>53</v>
      </c>
      <c r="E124" s="64">
        <v>1.5</v>
      </c>
      <c r="F124" s="37">
        <v>40</v>
      </c>
      <c r="G124" s="35">
        <v>10</v>
      </c>
      <c r="H124" s="40">
        <v>4.5</v>
      </c>
      <c r="I124" s="38" t="s">
        <v>737</v>
      </c>
      <c r="J124" s="34">
        <f>IFERROR(_xlfn.XLOOKUP(I124,Index!$A:$A,Index!$B:$B),"")</f>
        <v>353</v>
      </c>
      <c r="K124"/>
      <c r="L124"/>
      <c r="M124"/>
      <c r="N124"/>
      <c r="O124"/>
      <c r="P124"/>
    </row>
    <row r="125" spans="1:16" s="1" customFormat="1" ht="12.75" customHeight="1" x14ac:dyDescent="0.25">
      <c r="A125" s="26"/>
      <c r="B125" s="26"/>
      <c r="C125" s="30"/>
      <c r="D125" s="35" t="s">
        <v>55</v>
      </c>
      <c r="E125" s="64">
        <v>1.5</v>
      </c>
      <c r="F125" s="37">
        <v>40</v>
      </c>
      <c r="G125" s="35">
        <v>10</v>
      </c>
      <c r="H125" s="40">
        <v>4.5</v>
      </c>
      <c r="I125" s="38" t="s">
        <v>738</v>
      </c>
      <c r="J125" s="34">
        <f>IFERROR(_xlfn.XLOOKUP(I125,Index!$A:$A,Index!$B:$B),"")</f>
        <v>353</v>
      </c>
      <c r="K125"/>
      <c r="L125"/>
      <c r="M125"/>
      <c r="N125"/>
      <c r="O125"/>
      <c r="P125"/>
    </row>
    <row r="126" spans="1:16" s="1" customFormat="1" ht="12.75" customHeight="1" x14ac:dyDescent="0.25">
      <c r="A126" s="26"/>
      <c r="B126" s="26"/>
      <c r="C126" s="30"/>
      <c r="D126" s="35" t="s">
        <v>508</v>
      </c>
      <c r="E126" s="36">
        <v>2</v>
      </c>
      <c r="F126" s="37">
        <v>50</v>
      </c>
      <c r="G126" s="35">
        <v>15</v>
      </c>
      <c r="H126" s="40">
        <v>6.8</v>
      </c>
      <c r="I126" s="38" t="s">
        <v>739</v>
      </c>
      <c r="J126" s="34">
        <f>IFERROR(_xlfn.XLOOKUP(I126,Index!$A:$A,Index!$B:$B),"")</f>
        <v>430.5</v>
      </c>
      <c r="K126"/>
      <c r="L126"/>
      <c r="M126"/>
      <c r="N126"/>
      <c r="O126"/>
      <c r="P126"/>
    </row>
    <row r="127" spans="1:16" s="1" customFormat="1" ht="12.75" customHeight="1" x14ac:dyDescent="0.25">
      <c r="A127" s="26"/>
      <c r="B127" s="26"/>
      <c r="C127" s="30"/>
      <c r="D127" s="35" t="s">
        <v>53</v>
      </c>
      <c r="E127" s="36">
        <v>2</v>
      </c>
      <c r="F127" s="37">
        <v>50</v>
      </c>
      <c r="G127" s="35">
        <v>15</v>
      </c>
      <c r="H127" s="40">
        <v>6.8</v>
      </c>
      <c r="I127" s="38" t="s">
        <v>740</v>
      </c>
      <c r="J127" s="34">
        <f>IFERROR(_xlfn.XLOOKUP(I127,Index!$A:$A,Index!$B:$B),"")</f>
        <v>453</v>
      </c>
      <c r="K127"/>
      <c r="L127"/>
      <c r="M127"/>
      <c r="N127"/>
      <c r="O127"/>
      <c r="P127"/>
    </row>
    <row r="128" spans="1:16" s="1" customFormat="1" ht="12.75" customHeight="1" x14ac:dyDescent="0.25">
      <c r="A128" s="27"/>
      <c r="B128" s="27"/>
      <c r="C128" s="31"/>
      <c r="D128" s="35" t="s">
        <v>55</v>
      </c>
      <c r="E128" s="36">
        <v>2</v>
      </c>
      <c r="F128" s="37">
        <v>50</v>
      </c>
      <c r="G128" s="35">
        <v>15</v>
      </c>
      <c r="H128" s="40">
        <v>6.8</v>
      </c>
      <c r="I128" s="38" t="s">
        <v>741</v>
      </c>
      <c r="J128" s="34">
        <f>IFERROR(_xlfn.XLOOKUP(I128,Index!$A:$A,Index!$B:$B),"")</f>
        <v>453</v>
      </c>
      <c r="K128"/>
      <c r="L128"/>
      <c r="M128"/>
      <c r="N128"/>
      <c r="O128"/>
      <c r="P128"/>
    </row>
    <row r="129" spans="1:16" s="1" customFormat="1" ht="12.75" customHeight="1" x14ac:dyDescent="0.25">
      <c r="A129" s="12"/>
      <c r="B129" s="12"/>
      <c r="C129" s="4"/>
      <c r="D129" s="4"/>
      <c r="E129" s="5"/>
      <c r="F129" s="21"/>
      <c r="G129" s="4"/>
      <c r="H129" s="19"/>
      <c r="I129" s="19"/>
      <c r="J129" s="20"/>
      <c r="K129"/>
      <c r="L129"/>
      <c r="M129"/>
      <c r="N129"/>
      <c r="O129"/>
      <c r="P129"/>
    </row>
    <row r="130" spans="1:16" s="1" customFormat="1" ht="12.75" customHeight="1" x14ac:dyDescent="0.25">
      <c r="A130" s="12"/>
      <c r="B130" s="12"/>
      <c r="C130" s="4"/>
      <c r="D130" s="4"/>
      <c r="E130" s="5"/>
      <c r="F130" s="13"/>
      <c r="G130" s="4"/>
      <c r="H130" s="19"/>
      <c r="I130" s="19"/>
      <c r="J130" s="20"/>
      <c r="K130"/>
      <c r="L130"/>
      <c r="M130"/>
      <c r="N130"/>
      <c r="O130"/>
      <c r="P130"/>
    </row>
    <row r="131" spans="1:16" s="79" customFormat="1" ht="15.75" x14ac:dyDescent="0.25">
      <c r="A131" s="71" t="s">
        <v>742</v>
      </c>
      <c r="B131" s="71" t="s">
        <v>650</v>
      </c>
      <c r="C131" s="72"/>
      <c r="D131" s="73"/>
      <c r="E131" s="74"/>
      <c r="F131" s="75"/>
      <c r="G131" s="76"/>
      <c r="H131" s="77"/>
      <c r="I131" s="77"/>
      <c r="J131" s="78"/>
      <c r="K131"/>
      <c r="L131"/>
      <c r="M131"/>
      <c r="N131"/>
      <c r="O131"/>
      <c r="P131"/>
    </row>
    <row r="132" spans="1:16" s="1" customFormat="1" ht="15.75" x14ac:dyDescent="0.25">
      <c r="A132" s="48" t="s">
        <v>743</v>
      </c>
      <c r="B132" s="11"/>
      <c r="C132" s="4"/>
      <c r="D132" s="4"/>
      <c r="E132" s="5"/>
      <c r="F132" s="9"/>
      <c r="G132" s="4"/>
      <c r="H132" s="19"/>
      <c r="I132" s="19"/>
      <c r="J132" s="20"/>
      <c r="K132"/>
      <c r="L132"/>
      <c r="M132"/>
      <c r="N132"/>
      <c r="O132"/>
      <c r="P132"/>
    </row>
    <row r="133" spans="1:16" s="1" customFormat="1" ht="12.75" customHeight="1" x14ac:dyDescent="0.25">
      <c r="A133" s="25" t="s">
        <v>35</v>
      </c>
      <c r="B133" s="28" t="s">
        <v>36</v>
      </c>
      <c r="C133" s="333" t="s">
        <v>37</v>
      </c>
      <c r="D133" s="334"/>
      <c r="E133" s="335" t="s">
        <v>38</v>
      </c>
      <c r="F133" s="336"/>
      <c r="G133" s="335" t="s">
        <v>39</v>
      </c>
      <c r="H133" s="336"/>
      <c r="I133" s="42" t="s">
        <v>40</v>
      </c>
      <c r="J133" s="43" t="s">
        <v>41</v>
      </c>
      <c r="K133"/>
      <c r="L133"/>
      <c r="M133"/>
      <c r="N133"/>
      <c r="O133"/>
      <c r="P133"/>
    </row>
    <row r="134" spans="1:16" s="1" customFormat="1" ht="12.75" customHeight="1" x14ac:dyDescent="0.25">
      <c r="A134" s="32"/>
      <c r="B134" s="32"/>
      <c r="C134" s="33" t="s">
        <v>42</v>
      </c>
      <c r="D134" s="33" t="s">
        <v>43</v>
      </c>
      <c r="E134" s="33" t="s">
        <v>44</v>
      </c>
      <c r="F134" s="33" t="s">
        <v>45</v>
      </c>
      <c r="G134" s="33" t="s">
        <v>46</v>
      </c>
      <c r="H134" s="33" t="s">
        <v>47</v>
      </c>
      <c r="I134" s="33"/>
      <c r="J134" s="44"/>
      <c r="K134"/>
      <c r="L134"/>
      <c r="M134"/>
      <c r="N134"/>
      <c r="O134"/>
      <c r="P134"/>
    </row>
    <row r="135" spans="1:16" s="1" customFormat="1" ht="12.75" customHeight="1" x14ac:dyDescent="0.25">
      <c r="A135" s="26" t="s">
        <v>744</v>
      </c>
      <c r="B135" s="26" t="s">
        <v>723</v>
      </c>
      <c r="C135" s="30" t="s">
        <v>50</v>
      </c>
      <c r="D135" s="35" t="s">
        <v>508</v>
      </c>
      <c r="E135" s="70">
        <v>0.25</v>
      </c>
      <c r="F135" s="38">
        <v>8</v>
      </c>
      <c r="G135" s="38">
        <v>2</v>
      </c>
      <c r="H135" s="38">
        <v>0.9</v>
      </c>
      <c r="I135" s="38" t="s">
        <v>5542</v>
      </c>
      <c r="J135" s="34">
        <f t="shared" ref="J135:J136" si="0">$J$137</f>
        <v>122.5</v>
      </c>
      <c r="K135"/>
      <c r="L135"/>
      <c r="M135"/>
      <c r="N135"/>
      <c r="O135"/>
      <c r="P135"/>
    </row>
    <row r="136" spans="1:16" s="55" customFormat="1" x14ac:dyDescent="0.25">
      <c r="A136" s="26"/>
      <c r="B136" s="26"/>
      <c r="C136" s="30"/>
      <c r="D136" s="35" t="s">
        <v>508</v>
      </c>
      <c r="E136" s="64">
        <v>0.375</v>
      </c>
      <c r="F136" s="45">
        <v>10</v>
      </c>
      <c r="G136" s="35">
        <v>1.1299999999999999</v>
      </c>
      <c r="H136" s="40">
        <v>0.5</v>
      </c>
      <c r="I136" s="38" t="s">
        <v>5542</v>
      </c>
      <c r="J136" s="34">
        <f t="shared" si="0"/>
        <v>122.5</v>
      </c>
      <c r="K136"/>
      <c r="L136"/>
      <c r="M136"/>
      <c r="N136"/>
      <c r="O136"/>
      <c r="P136"/>
    </row>
    <row r="137" spans="1:16" s="55" customFormat="1" x14ac:dyDescent="0.25">
      <c r="A137" s="26"/>
      <c r="B137" s="26"/>
      <c r="C137" s="30"/>
      <c r="D137" s="35" t="s">
        <v>508</v>
      </c>
      <c r="E137" s="64">
        <v>0.5</v>
      </c>
      <c r="F137" s="45">
        <v>15</v>
      </c>
      <c r="G137" s="35">
        <v>1.1299999999999999</v>
      </c>
      <c r="H137" s="40">
        <v>0.5</v>
      </c>
      <c r="I137" s="38" t="s">
        <v>745</v>
      </c>
      <c r="J137" s="34">
        <f>IFERROR(_xlfn.XLOOKUP(I137,Index!$A:$A,Index!$B:$B),"")</f>
        <v>122.5</v>
      </c>
      <c r="K137"/>
      <c r="L137"/>
      <c r="M137"/>
      <c r="N137"/>
      <c r="O137"/>
      <c r="P137"/>
    </row>
    <row r="138" spans="1:16" s="1" customFormat="1" ht="12.75" customHeight="1" x14ac:dyDescent="0.25">
      <c r="A138" s="26"/>
      <c r="B138" s="26"/>
      <c r="C138" s="30"/>
      <c r="D138" s="35" t="s">
        <v>508</v>
      </c>
      <c r="E138" s="64">
        <v>0.75</v>
      </c>
      <c r="F138" s="45">
        <v>20</v>
      </c>
      <c r="G138" s="35">
        <v>1.75</v>
      </c>
      <c r="H138" s="40">
        <v>0.8</v>
      </c>
      <c r="I138" s="38" t="s">
        <v>746</v>
      </c>
      <c r="J138" s="34">
        <f>IFERROR(_xlfn.XLOOKUP(I138,Index!$A:$A,Index!$B:$B),"")</f>
        <v>144</v>
      </c>
      <c r="K138"/>
      <c r="L138"/>
      <c r="M138"/>
      <c r="N138"/>
      <c r="O138"/>
      <c r="P138"/>
    </row>
    <row r="139" spans="1:16" s="1" customFormat="1" ht="12.75" customHeight="1" x14ac:dyDescent="0.25">
      <c r="A139" s="26"/>
      <c r="B139" s="26"/>
      <c r="C139" s="30"/>
      <c r="D139" s="35" t="s">
        <v>508</v>
      </c>
      <c r="E139" s="64">
        <v>1</v>
      </c>
      <c r="F139" s="45">
        <v>25</v>
      </c>
      <c r="G139" s="35">
        <v>2.75</v>
      </c>
      <c r="H139" s="40">
        <v>1.2</v>
      </c>
      <c r="I139" s="38" t="s">
        <v>747</v>
      </c>
      <c r="J139" s="34">
        <f>IFERROR(_xlfn.XLOOKUP(I139,Index!$A:$A,Index!$B:$B),"")</f>
        <v>189</v>
      </c>
      <c r="K139"/>
      <c r="L139"/>
      <c r="M139"/>
      <c r="N139"/>
      <c r="O139"/>
      <c r="P139"/>
    </row>
    <row r="140" spans="1:16" s="1" customFormat="1" ht="12.75" customHeight="1" x14ac:dyDescent="0.25">
      <c r="A140" s="26"/>
      <c r="B140" s="26"/>
      <c r="C140" s="30"/>
      <c r="D140" s="35" t="s">
        <v>508</v>
      </c>
      <c r="E140" s="64">
        <v>1.25</v>
      </c>
      <c r="F140" s="45">
        <v>32</v>
      </c>
      <c r="G140" s="35">
        <v>4.5</v>
      </c>
      <c r="H140" s="40">
        <v>2</v>
      </c>
      <c r="I140" s="38" t="s">
        <v>748</v>
      </c>
      <c r="J140" s="34">
        <f>IFERROR(_xlfn.XLOOKUP(I140,Index!$A:$A,Index!$B:$B),"")</f>
        <v>256</v>
      </c>
      <c r="K140"/>
      <c r="L140"/>
      <c r="M140"/>
      <c r="N140"/>
      <c r="O140"/>
      <c r="P140"/>
    </row>
    <row r="141" spans="1:16" s="1" customFormat="1" ht="12.75" customHeight="1" x14ac:dyDescent="0.25">
      <c r="A141" s="26"/>
      <c r="B141" s="26"/>
      <c r="C141" s="30"/>
      <c r="D141" s="35" t="s">
        <v>508</v>
      </c>
      <c r="E141" s="64">
        <v>1.5</v>
      </c>
      <c r="F141" s="45">
        <v>40</v>
      </c>
      <c r="G141" s="35">
        <v>6</v>
      </c>
      <c r="H141" s="40">
        <v>2.7</v>
      </c>
      <c r="I141" s="38" t="s">
        <v>749</v>
      </c>
      <c r="J141" s="34">
        <f>IFERROR(_xlfn.XLOOKUP(I141,Index!$A:$A,Index!$B:$B),"")</f>
        <v>316</v>
      </c>
      <c r="K141"/>
      <c r="L141"/>
      <c r="M141"/>
      <c r="N141"/>
      <c r="O141"/>
      <c r="P141"/>
    </row>
    <row r="142" spans="1:16" s="1" customFormat="1" ht="12.75" customHeight="1" x14ac:dyDescent="0.25">
      <c r="A142" s="27"/>
      <c r="B142" s="27"/>
      <c r="C142" s="31"/>
      <c r="D142" s="35" t="s">
        <v>508</v>
      </c>
      <c r="E142" s="64">
        <v>2</v>
      </c>
      <c r="F142" s="45">
        <v>50</v>
      </c>
      <c r="G142" s="35">
        <v>8</v>
      </c>
      <c r="H142" s="40">
        <v>3.6</v>
      </c>
      <c r="I142" s="38" t="s">
        <v>750</v>
      </c>
      <c r="J142" s="34">
        <f>IFERROR(_xlfn.XLOOKUP(I142,Index!$A:$A,Index!$B:$B),"")</f>
        <v>404</v>
      </c>
      <c r="K142"/>
      <c r="L142"/>
      <c r="M142"/>
      <c r="N142"/>
      <c r="O142"/>
      <c r="P142"/>
    </row>
    <row r="143" spans="1:16" s="1" customFormat="1" ht="12.75" customHeight="1" x14ac:dyDescent="0.25">
      <c r="A143" s="12"/>
      <c r="B143" s="12"/>
      <c r="C143" s="4"/>
      <c r="D143" s="4"/>
      <c r="E143" s="5"/>
      <c r="F143" s="13"/>
      <c r="G143" s="4"/>
      <c r="H143" s="19"/>
      <c r="I143" s="19"/>
      <c r="J143" s="20"/>
      <c r="K143"/>
      <c r="L143"/>
      <c r="M143"/>
      <c r="N143"/>
      <c r="O143"/>
      <c r="P143"/>
    </row>
    <row r="144" spans="1:16" s="1" customFormat="1" ht="12.75" customHeight="1" x14ac:dyDescent="0.25">
      <c r="A144" s="12"/>
      <c r="B144" s="12"/>
      <c r="C144" s="4"/>
      <c r="D144" s="4"/>
      <c r="E144" s="5"/>
      <c r="F144" s="13"/>
      <c r="G144" s="4"/>
      <c r="H144" s="19"/>
      <c r="I144" s="19"/>
      <c r="J144" s="20"/>
      <c r="K144"/>
      <c r="L144"/>
      <c r="M144"/>
      <c r="N144"/>
      <c r="O144"/>
      <c r="P144"/>
    </row>
    <row r="145" spans="1:16" s="264" customFormat="1" ht="12.75" customHeight="1" x14ac:dyDescent="0.25">
      <c r="A145" s="217" t="s">
        <v>12</v>
      </c>
      <c r="B145" s="47"/>
      <c r="C145" s="47"/>
      <c r="D145" s="258"/>
      <c r="E145" s="259"/>
      <c r="F145" s="260"/>
      <c r="G145" s="261"/>
      <c r="H145" s="262"/>
      <c r="I145" s="262"/>
      <c r="J145" s="263"/>
      <c r="K145" s="269"/>
      <c r="L145" s="269"/>
      <c r="M145" s="269"/>
      <c r="N145" s="269"/>
      <c r="O145" s="269"/>
      <c r="P145" s="269"/>
    </row>
    <row r="146" spans="1:16" s="264" customFormat="1" ht="15.75" x14ac:dyDescent="0.25">
      <c r="A146" s="48" t="s">
        <v>102</v>
      </c>
      <c r="B146" s="217"/>
      <c r="C146" s="265"/>
      <c r="D146" s="265"/>
      <c r="E146" s="266"/>
      <c r="F146" s="260"/>
      <c r="G146" s="265"/>
      <c r="H146" s="262"/>
      <c r="I146" s="262"/>
      <c r="J146" s="263"/>
      <c r="K146" s="269"/>
      <c r="L146" s="269"/>
      <c r="M146" s="269"/>
      <c r="N146" s="269"/>
      <c r="O146" s="269"/>
      <c r="P146" s="269"/>
    </row>
    <row r="147" spans="1:16" s="1" customFormat="1" ht="12.75" customHeight="1" x14ac:dyDescent="0.25">
      <c r="A147" s="25" t="s">
        <v>35</v>
      </c>
      <c r="B147" s="28" t="s">
        <v>103</v>
      </c>
      <c r="C147" s="335" t="s">
        <v>38</v>
      </c>
      <c r="D147" s="336"/>
      <c r="E147" s="42" t="s">
        <v>40</v>
      </c>
      <c r="F147" s="43" t="s">
        <v>3038</v>
      </c>
      <c r="G147"/>
      <c r="H147"/>
      <c r="I147"/>
      <c r="J147"/>
      <c r="K147"/>
      <c r="L147"/>
    </row>
    <row r="148" spans="1:16" s="1" customFormat="1" ht="12.75" customHeight="1" x14ac:dyDescent="0.25">
      <c r="A148" s="32"/>
      <c r="B148" s="32"/>
      <c r="C148" s="33" t="s">
        <v>44</v>
      </c>
      <c r="D148" s="33" t="s">
        <v>45</v>
      </c>
      <c r="E148" s="33"/>
      <c r="F148" s="44"/>
      <c r="G148"/>
      <c r="H148"/>
      <c r="I148"/>
      <c r="J148"/>
      <c r="K148"/>
      <c r="L148"/>
    </row>
    <row r="149" spans="1:16" s="1" customFormat="1" ht="12.75" customHeight="1" x14ac:dyDescent="0.25">
      <c r="A149" s="60" t="s">
        <v>5552</v>
      </c>
      <c r="B149" s="60" t="s">
        <v>104</v>
      </c>
      <c r="C149" s="70">
        <v>0.25</v>
      </c>
      <c r="D149" s="38">
        <v>8</v>
      </c>
      <c r="E149" s="35" t="s">
        <v>687</v>
      </c>
      <c r="F149" s="34">
        <f>IFERROR(_xlfn.XLOOKUP(E149,Index!$A:$A,Index!$B:$B),"")</f>
        <v>6.5</v>
      </c>
      <c r="G149"/>
      <c r="H149"/>
      <c r="I149"/>
      <c r="J149"/>
      <c r="K149"/>
      <c r="L149"/>
    </row>
    <row r="150" spans="1:16" s="55" customFormat="1" x14ac:dyDescent="0.25">
      <c r="A150" s="26"/>
      <c r="B150" s="26"/>
      <c r="C150" s="64">
        <v>0.375</v>
      </c>
      <c r="D150" s="45">
        <v>10</v>
      </c>
      <c r="E150" s="35" t="s">
        <v>687</v>
      </c>
      <c r="F150" s="34">
        <f>IFERROR(_xlfn.XLOOKUP(E150,Index!$A:$A,Index!$B:$B),"")</f>
        <v>6.5</v>
      </c>
      <c r="G150"/>
      <c r="H150"/>
      <c r="I150"/>
      <c r="J150"/>
      <c r="K150"/>
      <c r="L150"/>
    </row>
    <row r="151" spans="1:16" s="55" customFormat="1" x14ac:dyDescent="0.25">
      <c r="A151" s="26"/>
      <c r="B151" s="26"/>
      <c r="C151" s="64">
        <v>0.5</v>
      </c>
      <c r="D151" s="45">
        <v>15</v>
      </c>
      <c r="E151" s="35" t="s">
        <v>687</v>
      </c>
      <c r="F151" s="34">
        <f>IFERROR(_xlfn.XLOOKUP(E151,Index!$A:$A,Index!$B:$B),"")</f>
        <v>6.5</v>
      </c>
      <c r="G151"/>
      <c r="H151"/>
      <c r="I151"/>
      <c r="J151"/>
      <c r="K151"/>
      <c r="L151"/>
    </row>
    <row r="152" spans="1:16" s="1" customFormat="1" ht="12.75" customHeight="1" x14ac:dyDescent="0.25">
      <c r="A152" s="26"/>
      <c r="B152" s="26"/>
      <c r="C152" s="64">
        <v>0.75</v>
      </c>
      <c r="D152" s="45">
        <v>20</v>
      </c>
      <c r="E152" s="35" t="s">
        <v>688</v>
      </c>
      <c r="F152" s="34">
        <f>IFERROR(_xlfn.XLOOKUP(E152,Index!$A:$A,Index!$B:$B),"")</f>
        <v>7</v>
      </c>
      <c r="G152"/>
      <c r="H152"/>
      <c r="I152"/>
      <c r="J152"/>
      <c r="K152"/>
      <c r="L152"/>
    </row>
    <row r="153" spans="1:16" s="1" customFormat="1" ht="12.75" customHeight="1" x14ac:dyDescent="0.25">
      <c r="A153" s="26"/>
      <c r="B153" s="26"/>
      <c r="C153" s="64">
        <v>1</v>
      </c>
      <c r="D153" s="45">
        <v>25</v>
      </c>
      <c r="E153" s="35" t="s">
        <v>689</v>
      </c>
      <c r="F153" s="34">
        <f>IFERROR(_xlfn.XLOOKUP(E153,Index!$A:$A,Index!$B:$B),"")</f>
        <v>7</v>
      </c>
      <c r="G153"/>
      <c r="H153"/>
      <c r="I153"/>
      <c r="J153"/>
      <c r="K153"/>
      <c r="L153"/>
    </row>
    <row r="154" spans="1:16" s="1" customFormat="1" ht="12.75" customHeight="1" x14ac:dyDescent="0.25">
      <c r="A154" s="26"/>
      <c r="B154" s="26"/>
      <c r="C154" s="64">
        <v>1.25</v>
      </c>
      <c r="D154" s="45">
        <v>32</v>
      </c>
      <c r="E154" s="35" t="s">
        <v>690</v>
      </c>
      <c r="F154" s="34">
        <f>IFERROR(_xlfn.XLOOKUP(E154,Index!$A:$A,Index!$B:$B),"")</f>
        <v>7</v>
      </c>
      <c r="G154"/>
      <c r="H154"/>
      <c r="I154"/>
      <c r="J154"/>
      <c r="K154"/>
      <c r="L154"/>
    </row>
    <row r="155" spans="1:16" s="1" customFormat="1" ht="12.75" customHeight="1" x14ac:dyDescent="0.25">
      <c r="A155" s="26"/>
      <c r="B155" s="26"/>
      <c r="C155" s="64">
        <v>1.5</v>
      </c>
      <c r="D155" s="45">
        <v>40</v>
      </c>
      <c r="E155" s="35" t="s">
        <v>691</v>
      </c>
      <c r="F155" s="34">
        <f>IFERROR(_xlfn.XLOOKUP(E155,Index!$A:$A,Index!$B:$B),"")</f>
        <v>10</v>
      </c>
      <c r="G155"/>
      <c r="H155"/>
      <c r="I155"/>
      <c r="J155"/>
      <c r="K155"/>
      <c r="L155"/>
    </row>
    <row r="156" spans="1:16" s="1" customFormat="1" ht="12.75" customHeight="1" x14ac:dyDescent="0.25">
      <c r="A156" s="26"/>
      <c r="B156" s="26"/>
      <c r="C156" s="64">
        <v>2</v>
      </c>
      <c r="D156" s="45">
        <v>50</v>
      </c>
      <c r="E156" s="35" t="s">
        <v>692</v>
      </c>
      <c r="F156" s="34">
        <f>IFERROR(_xlfn.XLOOKUP(E156,Index!$A:$A,Index!$B:$B),"")</f>
        <v>14.5</v>
      </c>
      <c r="G156"/>
      <c r="H156"/>
      <c r="I156"/>
      <c r="J156"/>
      <c r="K156"/>
      <c r="L156"/>
    </row>
    <row r="157" spans="1:16" s="1" customFormat="1" ht="12.75" customHeight="1" x14ac:dyDescent="0.25">
      <c r="A157" s="26"/>
      <c r="B157" s="60" t="s">
        <v>210</v>
      </c>
      <c r="C157" s="70">
        <v>0.25</v>
      </c>
      <c r="D157" s="38">
        <v>8</v>
      </c>
      <c r="E157" s="35" t="s">
        <v>6340</v>
      </c>
      <c r="F157" s="34">
        <f>IFERROR(_xlfn.XLOOKUP(E157,Index!$A:$A,Index!$B:$B),"")</f>
        <v>22.25</v>
      </c>
      <c r="G157"/>
      <c r="H157"/>
      <c r="I157"/>
      <c r="J157"/>
      <c r="K157"/>
      <c r="L157"/>
    </row>
    <row r="158" spans="1:16" s="1" customFormat="1" ht="12.75" customHeight="1" x14ac:dyDescent="0.25">
      <c r="A158" s="26"/>
      <c r="B158" s="26"/>
      <c r="C158" s="64">
        <v>0.375</v>
      </c>
      <c r="D158" s="45">
        <v>10</v>
      </c>
      <c r="E158" s="35" t="s">
        <v>6340</v>
      </c>
      <c r="F158" s="34">
        <f>IFERROR(_xlfn.XLOOKUP(E158,Index!$A:$A,Index!$B:$B),"")</f>
        <v>22.25</v>
      </c>
      <c r="G158"/>
      <c r="H158"/>
      <c r="I158"/>
      <c r="J158"/>
      <c r="K158"/>
      <c r="L158"/>
    </row>
    <row r="159" spans="1:16" s="1" customFormat="1" ht="12.75" customHeight="1" x14ac:dyDescent="0.25">
      <c r="A159" s="26"/>
      <c r="B159" s="26"/>
      <c r="C159" s="64">
        <v>0.5</v>
      </c>
      <c r="D159" s="45">
        <v>15</v>
      </c>
      <c r="E159" s="35" t="s">
        <v>6340</v>
      </c>
      <c r="F159" s="34">
        <f>IFERROR(_xlfn.XLOOKUP(E159,Index!$A:$A,Index!$B:$B),"")</f>
        <v>22.25</v>
      </c>
      <c r="G159"/>
      <c r="H159"/>
      <c r="I159"/>
      <c r="J159"/>
      <c r="K159"/>
      <c r="L159"/>
    </row>
    <row r="160" spans="1:16" s="1" customFormat="1" ht="12.75" customHeight="1" x14ac:dyDescent="0.25">
      <c r="A160" s="26"/>
      <c r="B160" s="26"/>
      <c r="C160" s="64">
        <v>0.75</v>
      </c>
      <c r="D160" s="45">
        <v>20</v>
      </c>
      <c r="E160" s="35" t="s">
        <v>693</v>
      </c>
      <c r="F160" s="34">
        <f>IFERROR(_xlfn.XLOOKUP(E160,Index!$A:$A,Index!$B:$B),"")</f>
        <v>24.75</v>
      </c>
      <c r="G160"/>
      <c r="H160"/>
      <c r="I160"/>
      <c r="J160"/>
      <c r="K160"/>
      <c r="L160"/>
    </row>
    <row r="161" spans="1:12" s="1" customFormat="1" ht="12.75" customHeight="1" x14ac:dyDescent="0.25">
      <c r="A161" s="26"/>
      <c r="B161" s="26"/>
      <c r="C161" s="64">
        <v>1</v>
      </c>
      <c r="D161" s="45">
        <v>25</v>
      </c>
      <c r="E161" s="35" t="s">
        <v>694</v>
      </c>
      <c r="F161" s="34">
        <f>IFERROR(_xlfn.XLOOKUP(E161,Index!$A:$A,Index!$B:$B),"")</f>
        <v>24.75</v>
      </c>
      <c r="G161"/>
      <c r="H161"/>
      <c r="I161"/>
      <c r="J161"/>
      <c r="K161"/>
      <c r="L161"/>
    </row>
    <row r="162" spans="1:12" s="1" customFormat="1" ht="12.75" customHeight="1" x14ac:dyDescent="0.25">
      <c r="A162" s="26"/>
      <c r="B162" s="26"/>
      <c r="C162" s="64">
        <v>1.25</v>
      </c>
      <c r="D162" s="45">
        <v>32</v>
      </c>
      <c r="E162" s="35" t="s">
        <v>6341</v>
      </c>
      <c r="F162" s="34">
        <f>IFERROR(_xlfn.XLOOKUP(E162,Index!$A:$A,Index!$B:$B),"")</f>
        <v>24.75</v>
      </c>
      <c r="G162"/>
      <c r="H162"/>
      <c r="I162"/>
      <c r="J162"/>
      <c r="K162"/>
      <c r="L162"/>
    </row>
    <row r="163" spans="1:12" s="1" customFormat="1" ht="12.75" customHeight="1" x14ac:dyDescent="0.25">
      <c r="A163" s="26"/>
      <c r="B163" s="26"/>
      <c r="C163" s="64">
        <v>1.5</v>
      </c>
      <c r="D163" s="45">
        <v>40</v>
      </c>
      <c r="E163" s="35" t="s">
        <v>6342</v>
      </c>
      <c r="F163" s="34">
        <f>IFERROR(_xlfn.XLOOKUP(E163,Index!$A:$A,Index!$B:$B),"")</f>
        <v>29.75</v>
      </c>
      <c r="G163"/>
      <c r="H163"/>
      <c r="I163"/>
      <c r="J163"/>
      <c r="K163"/>
      <c r="L163"/>
    </row>
    <row r="164" spans="1:12" s="1" customFormat="1" ht="12.75" customHeight="1" x14ac:dyDescent="0.25">
      <c r="A164" s="26"/>
      <c r="B164" s="26"/>
      <c r="C164" s="64">
        <v>2</v>
      </c>
      <c r="D164" s="45">
        <v>50</v>
      </c>
      <c r="E164" s="35" t="s">
        <v>695</v>
      </c>
      <c r="F164" s="34">
        <f>IFERROR(_xlfn.XLOOKUP(E164,Index!$A:$A,Index!$B:$B),"")</f>
        <v>33.5</v>
      </c>
      <c r="G164"/>
      <c r="H164"/>
      <c r="I164"/>
      <c r="J164"/>
      <c r="K164"/>
      <c r="L164"/>
    </row>
    <row r="165" spans="1:12" s="1" customFormat="1" ht="12.75" customHeight="1" x14ac:dyDescent="0.25">
      <c r="A165" s="26"/>
      <c r="B165" s="60" t="s">
        <v>122</v>
      </c>
      <c r="C165" s="70">
        <v>0.25</v>
      </c>
      <c r="D165" s="38">
        <v>8</v>
      </c>
      <c r="E165" s="35" t="s">
        <v>696</v>
      </c>
      <c r="F165" s="34">
        <f>IFERROR(_xlfn.XLOOKUP(E165,Index!$A:$A,Index!$B:$B),"")</f>
        <v>63.5</v>
      </c>
      <c r="G165"/>
      <c r="H165"/>
      <c r="I165"/>
      <c r="J165"/>
      <c r="K165"/>
      <c r="L165"/>
    </row>
    <row r="166" spans="1:12" s="1" customFormat="1" ht="12.75" customHeight="1" x14ac:dyDescent="0.25">
      <c r="A166" s="26"/>
      <c r="B166" s="26"/>
      <c r="C166" s="64">
        <v>0.375</v>
      </c>
      <c r="D166" s="45">
        <v>10</v>
      </c>
      <c r="E166" s="35" t="s">
        <v>696</v>
      </c>
      <c r="F166" s="34">
        <f>IFERROR(_xlfn.XLOOKUP(E166,Index!$A:$A,Index!$B:$B),"")</f>
        <v>63.5</v>
      </c>
      <c r="G166"/>
      <c r="H166"/>
      <c r="I166"/>
      <c r="J166"/>
      <c r="K166"/>
      <c r="L166"/>
    </row>
    <row r="167" spans="1:12" s="1" customFormat="1" ht="12.75" customHeight="1" x14ac:dyDescent="0.25">
      <c r="A167" s="26"/>
      <c r="B167" s="26"/>
      <c r="C167" s="64">
        <v>0.5</v>
      </c>
      <c r="D167" s="45">
        <v>15</v>
      </c>
      <c r="E167" s="35" t="s">
        <v>696</v>
      </c>
      <c r="F167" s="34">
        <f>IFERROR(_xlfn.XLOOKUP(E167,Index!$A:$A,Index!$B:$B),"")</f>
        <v>63.5</v>
      </c>
      <c r="G167"/>
      <c r="H167"/>
      <c r="I167"/>
      <c r="J167"/>
      <c r="K167"/>
      <c r="L167"/>
    </row>
    <row r="168" spans="1:12" s="1" customFormat="1" ht="12.75" customHeight="1" x14ac:dyDescent="0.25">
      <c r="A168" s="26"/>
      <c r="B168" s="26"/>
      <c r="C168" s="64">
        <v>0.75</v>
      </c>
      <c r="D168" s="45">
        <v>20</v>
      </c>
      <c r="E168" s="35" t="s">
        <v>697</v>
      </c>
      <c r="F168" s="34">
        <f>IFERROR(_xlfn.XLOOKUP(E168,Index!$A:$A,Index!$B:$B),"")</f>
        <v>80.5</v>
      </c>
      <c r="G168"/>
      <c r="H168"/>
      <c r="I168"/>
      <c r="J168"/>
      <c r="K168"/>
      <c r="L168"/>
    </row>
    <row r="169" spans="1:12" s="1" customFormat="1" ht="12.75" customHeight="1" x14ac:dyDescent="0.25">
      <c r="A169" s="26"/>
      <c r="B169" s="26"/>
      <c r="C169" s="64">
        <v>1</v>
      </c>
      <c r="D169" s="45">
        <v>25</v>
      </c>
      <c r="E169" s="35" t="s">
        <v>698</v>
      </c>
      <c r="F169" s="34">
        <f>IFERROR(_xlfn.XLOOKUP(E169,Index!$A:$A,Index!$B:$B),"")</f>
        <v>80.5</v>
      </c>
      <c r="G169"/>
      <c r="H169"/>
      <c r="I169"/>
      <c r="J169"/>
      <c r="K169"/>
      <c r="L169"/>
    </row>
    <row r="170" spans="1:12" s="1" customFormat="1" ht="12.75" customHeight="1" x14ac:dyDescent="0.25">
      <c r="A170" s="26"/>
      <c r="B170" s="26"/>
      <c r="C170" s="64">
        <v>1.25</v>
      </c>
      <c r="D170" s="45">
        <v>32</v>
      </c>
      <c r="E170" s="35" t="s">
        <v>699</v>
      </c>
      <c r="F170" s="34">
        <f>IFERROR(_xlfn.XLOOKUP(E170,Index!$A:$A,Index!$B:$B),"")</f>
        <v>80.5</v>
      </c>
      <c r="G170"/>
      <c r="H170"/>
      <c r="I170"/>
      <c r="J170"/>
      <c r="K170"/>
      <c r="L170"/>
    </row>
    <row r="171" spans="1:12" s="1" customFormat="1" ht="12.75" customHeight="1" x14ac:dyDescent="0.25">
      <c r="A171" s="26"/>
      <c r="B171" s="26"/>
      <c r="C171" s="64">
        <v>1.5</v>
      </c>
      <c r="D171" s="45">
        <v>40</v>
      </c>
      <c r="E171" s="35" t="s">
        <v>700</v>
      </c>
      <c r="F171" s="34">
        <f>IFERROR(_xlfn.XLOOKUP(E171,Index!$A:$A,Index!$B:$B),"")</f>
        <v>88.5</v>
      </c>
      <c r="G171"/>
      <c r="H171"/>
      <c r="I171"/>
      <c r="J171"/>
      <c r="K171"/>
      <c r="L171"/>
    </row>
    <row r="172" spans="1:12" s="1" customFormat="1" ht="12.75" customHeight="1" x14ac:dyDescent="0.25">
      <c r="A172" s="26"/>
      <c r="B172" s="26"/>
      <c r="C172" s="64">
        <v>2</v>
      </c>
      <c r="D172" s="45">
        <v>50</v>
      </c>
      <c r="E172" s="35" t="s">
        <v>701</v>
      </c>
      <c r="F172" s="34">
        <f>IFERROR(_xlfn.XLOOKUP(E172,Index!$A:$A,Index!$B:$B),"")</f>
        <v>88.5</v>
      </c>
      <c r="G172"/>
      <c r="H172"/>
      <c r="I172"/>
      <c r="J172"/>
      <c r="K172"/>
      <c r="L172"/>
    </row>
    <row r="173" spans="1:12" s="1" customFormat="1" ht="12.75" customHeight="1" x14ac:dyDescent="0.25">
      <c r="A173" s="26"/>
      <c r="B173" s="60" t="s">
        <v>134</v>
      </c>
      <c r="C173" s="70">
        <v>0.25</v>
      </c>
      <c r="D173" s="38">
        <v>8</v>
      </c>
      <c r="E173" s="35" t="s">
        <v>702</v>
      </c>
      <c r="F173" s="34">
        <f>IFERROR(_xlfn.XLOOKUP(E173,Index!$A:$A,Index!$B:$B),"")</f>
        <v>63.5</v>
      </c>
      <c r="G173"/>
      <c r="H173"/>
      <c r="I173"/>
      <c r="J173"/>
      <c r="K173"/>
      <c r="L173"/>
    </row>
    <row r="174" spans="1:12" s="1" customFormat="1" ht="12.75" customHeight="1" x14ac:dyDescent="0.25">
      <c r="A174" s="26"/>
      <c r="B174" s="26"/>
      <c r="C174" s="64">
        <v>0.375</v>
      </c>
      <c r="D174" s="45">
        <v>10</v>
      </c>
      <c r="E174" s="35" t="s">
        <v>702</v>
      </c>
      <c r="F174" s="34">
        <f>IFERROR(_xlfn.XLOOKUP(E174,Index!$A:$A,Index!$B:$B),"")</f>
        <v>63.5</v>
      </c>
      <c r="G174"/>
      <c r="H174"/>
      <c r="I174"/>
      <c r="J174"/>
      <c r="K174"/>
      <c r="L174"/>
    </row>
    <row r="175" spans="1:12" s="1" customFormat="1" ht="12.75" customHeight="1" x14ac:dyDescent="0.25">
      <c r="A175" s="26"/>
      <c r="B175" s="26"/>
      <c r="C175" s="64">
        <v>0.5</v>
      </c>
      <c r="D175" s="45">
        <v>15</v>
      </c>
      <c r="E175" s="35" t="s">
        <v>702</v>
      </c>
      <c r="F175" s="34">
        <f>IFERROR(_xlfn.XLOOKUP(E175,Index!$A:$A,Index!$B:$B),"")</f>
        <v>63.5</v>
      </c>
      <c r="G175"/>
      <c r="H175"/>
      <c r="I175"/>
      <c r="J175"/>
      <c r="K175"/>
      <c r="L175"/>
    </row>
    <row r="176" spans="1:12" s="1" customFormat="1" ht="12.75" customHeight="1" x14ac:dyDescent="0.25">
      <c r="A176" s="26"/>
      <c r="B176" s="26"/>
      <c r="C176" s="64">
        <v>0.75</v>
      </c>
      <c r="D176" s="45">
        <v>20</v>
      </c>
      <c r="E176" s="35" t="s">
        <v>703</v>
      </c>
      <c r="F176" s="34">
        <f>IFERROR(_xlfn.XLOOKUP(E176,Index!$A:$A,Index!$B:$B),"")</f>
        <v>80.5</v>
      </c>
      <c r="G176"/>
      <c r="H176"/>
      <c r="I176"/>
      <c r="J176"/>
      <c r="K176"/>
      <c r="L176"/>
    </row>
    <row r="177" spans="1:12" s="1" customFormat="1" ht="12.75" customHeight="1" x14ac:dyDescent="0.25">
      <c r="A177" s="26"/>
      <c r="B177" s="26"/>
      <c r="C177" s="64">
        <v>1</v>
      </c>
      <c r="D177" s="45">
        <v>25</v>
      </c>
      <c r="E177" s="35" t="s">
        <v>704</v>
      </c>
      <c r="F177" s="34">
        <f>IFERROR(_xlfn.XLOOKUP(E177,Index!$A:$A,Index!$B:$B),"")</f>
        <v>80.5</v>
      </c>
      <c r="G177"/>
      <c r="H177"/>
      <c r="I177"/>
      <c r="J177"/>
      <c r="K177"/>
      <c r="L177"/>
    </row>
    <row r="178" spans="1:12" s="1" customFormat="1" ht="12.75" customHeight="1" x14ac:dyDescent="0.25">
      <c r="A178" s="26"/>
      <c r="B178" s="26"/>
      <c r="C178" s="64">
        <v>1.25</v>
      </c>
      <c r="D178" s="45">
        <v>32</v>
      </c>
      <c r="E178" s="35" t="s">
        <v>705</v>
      </c>
      <c r="F178" s="34">
        <f>IFERROR(_xlfn.XLOOKUP(E178,Index!$A:$A,Index!$B:$B),"")</f>
        <v>80.5</v>
      </c>
      <c r="G178"/>
      <c r="H178"/>
      <c r="I178"/>
      <c r="J178"/>
      <c r="K178"/>
      <c r="L178"/>
    </row>
    <row r="179" spans="1:12" s="1" customFormat="1" ht="12.75" customHeight="1" x14ac:dyDescent="0.25">
      <c r="A179" s="26"/>
      <c r="B179" s="26"/>
      <c r="C179" s="64">
        <v>1.5</v>
      </c>
      <c r="D179" s="45">
        <v>40</v>
      </c>
      <c r="E179" s="35" t="s">
        <v>706</v>
      </c>
      <c r="F179" s="34">
        <f>IFERROR(_xlfn.XLOOKUP(E179,Index!$A:$A,Index!$B:$B),"")</f>
        <v>88.5</v>
      </c>
      <c r="G179"/>
      <c r="H179"/>
      <c r="I179"/>
      <c r="J179"/>
      <c r="K179"/>
      <c r="L179"/>
    </row>
    <row r="180" spans="1:12" s="1" customFormat="1" ht="12.75" customHeight="1" x14ac:dyDescent="0.25">
      <c r="A180" s="26"/>
      <c r="B180" s="26"/>
      <c r="C180" s="64">
        <v>2</v>
      </c>
      <c r="D180" s="45">
        <v>50</v>
      </c>
      <c r="E180" s="35" t="s">
        <v>707</v>
      </c>
      <c r="F180" s="34">
        <f>IFERROR(_xlfn.XLOOKUP(E180,Index!$A:$A,Index!$B:$B),"")</f>
        <v>88.5</v>
      </c>
      <c r="G180"/>
      <c r="H180"/>
      <c r="I180"/>
      <c r="J180"/>
      <c r="K180"/>
      <c r="L180"/>
    </row>
    <row r="181" spans="1:12" s="1" customFormat="1" ht="12.75" customHeight="1" x14ac:dyDescent="0.25">
      <c r="A181" s="26"/>
      <c r="B181" s="60" t="s">
        <v>145</v>
      </c>
      <c r="C181" s="70">
        <v>0.25</v>
      </c>
      <c r="D181" s="38">
        <v>8</v>
      </c>
      <c r="E181" s="35" t="s">
        <v>708</v>
      </c>
      <c r="F181" s="34">
        <f>IFERROR(_xlfn.XLOOKUP(E181,Index!$A:$A,Index!$B:$B),"")</f>
        <v>57.5</v>
      </c>
      <c r="G181"/>
      <c r="H181"/>
      <c r="I181"/>
      <c r="J181"/>
      <c r="K181"/>
      <c r="L181"/>
    </row>
    <row r="182" spans="1:12" s="1" customFormat="1" ht="12.75" customHeight="1" x14ac:dyDescent="0.25">
      <c r="A182" s="26"/>
      <c r="B182" s="26"/>
      <c r="C182" s="64">
        <v>0.375</v>
      </c>
      <c r="D182" s="45">
        <v>10</v>
      </c>
      <c r="E182" s="35" t="s">
        <v>708</v>
      </c>
      <c r="F182" s="34">
        <f>IFERROR(_xlfn.XLOOKUP(E182,Index!$A:$A,Index!$B:$B),"")</f>
        <v>57.5</v>
      </c>
      <c r="G182"/>
      <c r="H182"/>
      <c r="I182"/>
      <c r="J182"/>
      <c r="K182"/>
      <c r="L182"/>
    </row>
    <row r="183" spans="1:12" s="1" customFormat="1" ht="12.75" customHeight="1" x14ac:dyDescent="0.25">
      <c r="A183" s="26"/>
      <c r="B183" s="26"/>
      <c r="C183" s="64">
        <v>0.5</v>
      </c>
      <c r="D183" s="45">
        <v>15</v>
      </c>
      <c r="E183" s="35" t="s">
        <v>708</v>
      </c>
      <c r="F183" s="34">
        <f>IFERROR(_xlfn.XLOOKUP(E183,Index!$A:$A,Index!$B:$B),"")</f>
        <v>57.5</v>
      </c>
      <c r="G183"/>
      <c r="H183"/>
      <c r="I183"/>
      <c r="J183"/>
      <c r="K183"/>
      <c r="L183"/>
    </row>
    <row r="184" spans="1:12" s="1" customFormat="1" ht="12.75" customHeight="1" x14ac:dyDescent="0.25">
      <c r="A184" s="26"/>
      <c r="B184" s="26"/>
      <c r="C184" s="64">
        <v>0.75</v>
      </c>
      <c r="D184" s="45">
        <v>20</v>
      </c>
      <c r="E184" s="35" t="s">
        <v>2849</v>
      </c>
      <c r="F184" s="34">
        <f>IFERROR(_xlfn.XLOOKUP(E184,Index!$A:$A,Index!$B:$B),"")</f>
        <v>80.5</v>
      </c>
      <c r="G184"/>
      <c r="H184"/>
      <c r="I184"/>
      <c r="J184"/>
      <c r="K184"/>
      <c r="L184"/>
    </row>
    <row r="185" spans="1:12" s="1" customFormat="1" ht="12.75" customHeight="1" x14ac:dyDescent="0.25">
      <c r="A185" s="26"/>
      <c r="B185" s="26"/>
      <c r="C185" s="64">
        <v>1</v>
      </c>
      <c r="D185" s="45">
        <v>25</v>
      </c>
      <c r="E185" s="35" t="s">
        <v>709</v>
      </c>
      <c r="F185" s="34">
        <f>IFERROR(_xlfn.XLOOKUP(E185,Index!$A:$A,Index!$B:$B),"")</f>
        <v>80.5</v>
      </c>
      <c r="G185"/>
      <c r="H185"/>
      <c r="I185"/>
      <c r="J185"/>
      <c r="K185"/>
      <c r="L185"/>
    </row>
    <row r="186" spans="1:12" s="1" customFormat="1" ht="12.75" customHeight="1" x14ac:dyDescent="0.25">
      <c r="A186" s="26"/>
      <c r="B186" s="26"/>
      <c r="C186" s="64">
        <v>1.25</v>
      </c>
      <c r="D186" s="45">
        <v>32</v>
      </c>
      <c r="E186" s="35" t="s">
        <v>710</v>
      </c>
      <c r="F186" s="34">
        <f>IFERROR(_xlfn.XLOOKUP(E186,Index!$A:$A,Index!$B:$B),"")</f>
        <v>80.5</v>
      </c>
      <c r="G186"/>
      <c r="H186"/>
      <c r="I186"/>
      <c r="J186"/>
      <c r="K186"/>
      <c r="L186"/>
    </row>
    <row r="187" spans="1:12" s="1" customFormat="1" ht="12.75" customHeight="1" x14ac:dyDescent="0.25">
      <c r="A187" s="26"/>
      <c r="B187" s="26"/>
      <c r="C187" s="64">
        <v>1.5</v>
      </c>
      <c r="D187" s="45">
        <v>40</v>
      </c>
      <c r="E187" s="35" t="s">
        <v>711</v>
      </c>
      <c r="F187" s="34">
        <f>IFERROR(_xlfn.XLOOKUP(E187,Index!$A:$A,Index!$B:$B),"")</f>
        <v>88.5</v>
      </c>
      <c r="G187"/>
      <c r="H187"/>
      <c r="I187"/>
      <c r="J187"/>
      <c r="K187"/>
      <c r="L187"/>
    </row>
    <row r="188" spans="1:12" s="1" customFormat="1" ht="12.75" customHeight="1" x14ac:dyDescent="0.25">
      <c r="A188" s="26"/>
      <c r="B188" s="26"/>
      <c r="C188" s="64">
        <v>2</v>
      </c>
      <c r="D188" s="45">
        <v>50</v>
      </c>
      <c r="E188" s="35" t="s">
        <v>712</v>
      </c>
      <c r="F188" s="34">
        <f>IFERROR(_xlfn.XLOOKUP(E188,Index!$A:$A,Index!$B:$B),"")</f>
        <v>88.5</v>
      </c>
      <c r="G188"/>
      <c r="H188"/>
      <c r="I188"/>
      <c r="J188"/>
      <c r="K188"/>
      <c r="L188"/>
    </row>
    <row r="189" spans="1:12" s="1" customFormat="1" ht="12.75" customHeight="1" x14ac:dyDescent="0.25">
      <c r="A189" s="26"/>
      <c r="B189" s="60" t="s">
        <v>155</v>
      </c>
      <c r="C189" s="70">
        <v>0.25</v>
      </c>
      <c r="D189" s="38">
        <v>8</v>
      </c>
      <c r="E189" s="35" t="s">
        <v>713</v>
      </c>
      <c r="F189" s="34">
        <f>IFERROR(_xlfn.XLOOKUP(E189,Index!$A:$A,Index!$B:$B),"")</f>
        <v>57.5</v>
      </c>
      <c r="G189"/>
      <c r="H189"/>
      <c r="I189"/>
      <c r="J189"/>
      <c r="K189"/>
      <c r="L189"/>
    </row>
    <row r="190" spans="1:12" s="1" customFormat="1" ht="12.75" customHeight="1" x14ac:dyDescent="0.25">
      <c r="A190" s="26"/>
      <c r="B190" s="26"/>
      <c r="C190" s="64">
        <v>0.375</v>
      </c>
      <c r="D190" s="45">
        <v>10</v>
      </c>
      <c r="E190" s="35" t="s">
        <v>713</v>
      </c>
      <c r="F190" s="34">
        <f>IFERROR(_xlfn.XLOOKUP(E190,Index!$A:$A,Index!$B:$B),"")</f>
        <v>57.5</v>
      </c>
      <c r="G190"/>
      <c r="H190"/>
      <c r="I190"/>
      <c r="J190"/>
      <c r="K190"/>
      <c r="L190"/>
    </row>
    <row r="191" spans="1:12" s="1" customFormat="1" ht="12.75" customHeight="1" x14ac:dyDescent="0.25">
      <c r="A191" s="26"/>
      <c r="B191" s="26"/>
      <c r="C191" s="64">
        <v>0.5</v>
      </c>
      <c r="D191" s="45">
        <v>15</v>
      </c>
      <c r="E191" s="35" t="s">
        <v>713</v>
      </c>
      <c r="F191" s="34">
        <f>IFERROR(_xlfn.XLOOKUP(E191,Index!$A:$A,Index!$B:$B),"")</f>
        <v>57.5</v>
      </c>
      <c r="G191"/>
      <c r="H191"/>
      <c r="I191"/>
      <c r="J191"/>
      <c r="K191"/>
      <c r="L191"/>
    </row>
    <row r="192" spans="1:12" s="1" customFormat="1" ht="12.75" customHeight="1" x14ac:dyDescent="0.25">
      <c r="A192" s="26"/>
      <c r="B192" s="26"/>
      <c r="C192" s="64">
        <v>0.75</v>
      </c>
      <c r="D192" s="45">
        <v>20</v>
      </c>
      <c r="E192" s="35" t="s">
        <v>714</v>
      </c>
      <c r="F192" s="34">
        <f>IFERROR(_xlfn.XLOOKUP(E192,Index!$A:$A,Index!$B:$B),"")</f>
        <v>80.5</v>
      </c>
      <c r="G192"/>
      <c r="H192"/>
      <c r="I192"/>
      <c r="J192"/>
      <c r="K192"/>
      <c r="L192"/>
    </row>
    <row r="193" spans="1:16" s="1" customFormat="1" ht="12.75" customHeight="1" x14ac:dyDescent="0.25">
      <c r="A193" s="26"/>
      <c r="B193" s="26"/>
      <c r="C193" s="64">
        <v>1</v>
      </c>
      <c r="D193" s="45">
        <v>25</v>
      </c>
      <c r="E193" s="35" t="s">
        <v>715</v>
      </c>
      <c r="F193" s="34">
        <f>IFERROR(_xlfn.XLOOKUP(E193,Index!$A:$A,Index!$B:$B),"")</f>
        <v>80.5</v>
      </c>
      <c r="G193"/>
      <c r="H193"/>
      <c r="I193"/>
      <c r="J193"/>
      <c r="K193"/>
      <c r="L193"/>
    </row>
    <row r="194" spans="1:16" s="1" customFormat="1" ht="12.75" customHeight="1" x14ac:dyDescent="0.25">
      <c r="A194" s="26"/>
      <c r="B194" s="26"/>
      <c r="C194" s="64">
        <v>1.25</v>
      </c>
      <c r="D194" s="45">
        <v>32</v>
      </c>
      <c r="E194" s="35" t="s">
        <v>716</v>
      </c>
      <c r="F194" s="34">
        <f>IFERROR(_xlfn.XLOOKUP(E194,Index!$A:$A,Index!$B:$B),"")</f>
        <v>80.5</v>
      </c>
      <c r="G194"/>
      <c r="H194"/>
      <c r="I194"/>
      <c r="J194"/>
      <c r="K194"/>
      <c r="L194"/>
    </row>
    <row r="195" spans="1:16" s="1" customFormat="1" ht="12.75" customHeight="1" x14ac:dyDescent="0.25">
      <c r="A195" s="26"/>
      <c r="B195" s="26"/>
      <c r="C195" s="64">
        <v>1.5</v>
      </c>
      <c r="D195" s="45">
        <v>40</v>
      </c>
      <c r="E195" s="35" t="s">
        <v>717</v>
      </c>
      <c r="F195" s="34">
        <f>IFERROR(_xlfn.XLOOKUP(E195,Index!$A:$A,Index!$B:$B),"")</f>
        <v>88.5</v>
      </c>
      <c r="G195"/>
      <c r="H195"/>
      <c r="I195"/>
      <c r="J195"/>
      <c r="K195"/>
      <c r="L195"/>
    </row>
    <row r="196" spans="1:16" s="1" customFormat="1" ht="12.75" customHeight="1" x14ac:dyDescent="0.25">
      <c r="A196" s="26"/>
      <c r="B196" s="27"/>
      <c r="C196" s="64">
        <v>2</v>
      </c>
      <c r="D196" s="45">
        <v>50</v>
      </c>
      <c r="E196" s="35" t="s">
        <v>718</v>
      </c>
      <c r="F196" s="34">
        <f>IFERROR(_xlfn.XLOOKUP(E196,Index!$A:$A,Index!$B:$B),"")</f>
        <v>88.5</v>
      </c>
      <c r="G196"/>
      <c r="H196"/>
      <c r="I196"/>
      <c r="J196"/>
      <c r="K196"/>
      <c r="L196"/>
    </row>
    <row r="197" spans="1:16" s="1" customFormat="1" ht="12.75" customHeight="1" x14ac:dyDescent="0.25">
      <c r="A197" s="26"/>
      <c r="B197" s="60" t="s">
        <v>719</v>
      </c>
      <c r="C197" s="70">
        <v>0.25</v>
      </c>
      <c r="D197" s="38">
        <v>8</v>
      </c>
      <c r="E197" s="35" t="s">
        <v>168</v>
      </c>
      <c r="F197" s="34">
        <f>IFERROR(_xlfn.XLOOKUP(E197,Index!$A:$A,Index!$B:$B),"")</f>
        <v>2.75</v>
      </c>
      <c r="G197"/>
      <c r="H197"/>
      <c r="I197"/>
      <c r="J197"/>
      <c r="K197"/>
      <c r="L197"/>
    </row>
    <row r="198" spans="1:16" s="1" customFormat="1" ht="12.75" customHeight="1" x14ac:dyDescent="0.25">
      <c r="A198" s="26"/>
      <c r="B198" s="26"/>
      <c r="C198" s="64">
        <v>0.375</v>
      </c>
      <c r="D198" s="45">
        <v>10</v>
      </c>
      <c r="E198" s="35" t="s">
        <v>168</v>
      </c>
      <c r="F198" s="34">
        <f>IFERROR(_xlfn.XLOOKUP(E198,Index!$A:$A,Index!$B:$B),"")</f>
        <v>2.75</v>
      </c>
      <c r="G198"/>
      <c r="H198"/>
      <c r="I198"/>
      <c r="J198"/>
      <c r="K198"/>
      <c r="L198"/>
    </row>
    <row r="199" spans="1:16" s="1" customFormat="1" ht="12.75" customHeight="1" x14ac:dyDescent="0.25">
      <c r="A199" s="26"/>
      <c r="B199" s="26"/>
      <c r="C199" s="64">
        <v>0.5</v>
      </c>
      <c r="D199" s="45">
        <v>15</v>
      </c>
      <c r="E199" s="35" t="s">
        <v>168</v>
      </c>
      <c r="F199" s="34">
        <f>IFERROR(_xlfn.XLOOKUP(E199,Index!$A:$A,Index!$B:$B),"")</f>
        <v>2.75</v>
      </c>
      <c r="G199"/>
      <c r="H199"/>
      <c r="I199"/>
      <c r="J199"/>
      <c r="K199"/>
      <c r="L199"/>
    </row>
    <row r="200" spans="1:16" s="1" customFormat="1" ht="12.75" customHeight="1" x14ac:dyDescent="0.25">
      <c r="A200" s="26"/>
      <c r="B200" s="26"/>
      <c r="C200" s="64">
        <v>0.75</v>
      </c>
      <c r="D200" s="45">
        <v>20</v>
      </c>
      <c r="E200" s="35" t="s">
        <v>169</v>
      </c>
      <c r="F200" s="34">
        <f>IFERROR(_xlfn.XLOOKUP(E200,Index!$A:$A,Index!$B:$B),"")</f>
        <v>6</v>
      </c>
      <c r="G200"/>
      <c r="H200"/>
      <c r="I200"/>
      <c r="J200"/>
      <c r="K200"/>
      <c r="L200"/>
    </row>
    <row r="201" spans="1:16" s="1" customFormat="1" ht="12.75" customHeight="1" x14ac:dyDescent="0.25">
      <c r="A201" s="26"/>
      <c r="B201" s="26"/>
      <c r="C201" s="64">
        <v>1</v>
      </c>
      <c r="D201" s="45">
        <v>25</v>
      </c>
      <c r="E201" s="35" t="s">
        <v>169</v>
      </c>
      <c r="F201" s="34">
        <f>IFERROR(_xlfn.XLOOKUP(E201,Index!$A:$A,Index!$B:$B),"")</f>
        <v>6</v>
      </c>
      <c r="G201"/>
      <c r="H201"/>
      <c r="I201"/>
      <c r="J201"/>
      <c r="K201"/>
      <c r="L201"/>
    </row>
    <row r="202" spans="1:16" s="1" customFormat="1" ht="12.75" customHeight="1" x14ac:dyDescent="0.25">
      <c r="A202" s="26"/>
      <c r="B202" s="26"/>
      <c r="C202" s="64">
        <v>1.25</v>
      </c>
      <c r="D202" s="45">
        <v>32</v>
      </c>
      <c r="E202" s="35" t="s">
        <v>170</v>
      </c>
      <c r="F202" s="34">
        <f>IFERROR(_xlfn.XLOOKUP(E202,Index!$A:$A,Index!$B:$B),"")</f>
        <v>7.75</v>
      </c>
      <c r="G202"/>
      <c r="H202"/>
      <c r="I202"/>
      <c r="J202"/>
      <c r="K202"/>
      <c r="L202"/>
    </row>
    <row r="203" spans="1:16" s="1" customFormat="1" ht="12.75" customHeight="1" x14ac:dyDescent="0.25">
      <c r="A203" s="26"/>
      <c r="B203" s="26"/>
      <c r="C203" s="64">
        <v>1.5</v>
      </c>
      <c r="D203" s="45">
        <v>40</v>
      </c>
      <c r="E203" s="35" t="s">
        <v>170</v>
      </c>
      <c r="F203" s="34">
        <f>IFERROR(_xlfn.XLOOKUP(E203,Index!$A:$A,Index!$B:$B),"")</f>
        <v>7.75</v>
      </c>
      <c r="G203"/>
      <c r="H203"/>
      <c r="I203"/>
      <c r="J203"/>
      <c r="K203"/>
      <c r="L203"/>
    </row>
    <row r="204" spans="1:16" s="1" customFormat="1" ht="12.75" customHeight="1" x14ac:dyDescent="0.25">
      <c r="A204" s="27"/>
      <c r="B204" s="27"/>
      <c r="C204" s="64">
        <v>2</v>
      </c>
      <c r="D204" s="45">
        <v>50</v>
      </c>
      <c r="E204" s="35" t="s">
        <v>365</v>
      </c>
      <c r="F204" s="34">
        <f>IFERROR(_xlfn.XLOOKUP(E204,Index!$A:$A,Index!$B:$B),"")</f>
        <v>9.75</v>
      </c>
      <c r="G204"/>
      <c r="H204"/>
      <c r="I204"/>
      <c r="J204"/>
      <c r="K204"/>
      <c r="L204"/>
    </row>
    <row r="206" spans="1:16" s="1" customFormat="1" ht="15.75" x14ac:dyDescent="0.25">
      <c r="A206" s="62" t="s">
        <v>13</v>
      </c>
      <c r="B206" s="62" t="s">
        <v>650</v>
      </c>
      <c r="C206" s="14"/>
      <c r="D206" s="3"/>
      <c r="E206" s="8"/>
      <c r="F206" s="9"/>
      <c r="G206" s="10"/>
      <c r="H206" s="19"/>
      <c r="I206" s="19"/>
      <c r="J206" s="20"/>
      <c r="K206"/>
      <c r="L206"/>
      <c r="M206"/>
      <c r="N206"/>
      <c r="O206"/>
      <c r="P206"/>
    </row>
    <row r="207" spans="1:16" s="1" customFormat="1" ht="15.75" x14ac:dyDescent="0.25">
      <c r="A207" s="48" t="s">
        <v>751</v>
      </c>
      <c r="B207" s="11"/>
      <c r="C207" s="4"/>
      <c r="D207" s="4"/>
      <c r="E207" s="5"/>
      <c r="F207" s="9"/>
      <c r="G207" s="4"/>
      <c r="H207" s="19"/>
      <c r="I207" s="19"/>
      <c r="J207" s="20"/>
      <c r="K207"/>
      <c r="L207"/>
      <c r="M207"/>
      <c r="N207"/>
      <c r="O207"/>
      <c r="P207"/>
    </row>
    <row r="208" spans="1:16" s="1" customFormat="1" ht="12.75" customHeight="1" x14ac:dyDescent="0.25">
      <c r="A208" s="25" t="s">
        <v>35</v>
      </c>
      <c r="B208" s="28" t="s">
        <v>36</v>
      </c>
      <c r="C208" s="333" t="s">
        <v>37</v>
      </c>
      <c r="D208" s="334"/>
      <c r="E208" s="335" t="s">
        <v>38</v>
      </c>
      <c r="F208" s="336"/>
      <c r="G208" s="335" t="s">
        <v>39</v>
      </c>
      <c r="H208" s="336"/>
      <c r="I208" s="42" t="s">
        <v>40</v>
      </c>
      <c r="J208" s="43" t="s">
        <v>41</v>
      </c>
      <c r="K208"/>
      <c r="L208"/>
      <c r="M208"/>
      <c r="N208"/>
      <c r="O208"/>
      <c r="P208"/>
    </row>
    <row r="209" spans="1:16" s="1" customFormat="1" ht="12.75" customHeight="1" x14ac:dyDescent="0.25">
      <c r="A209" s="32"/>
      <c r="B209" s="32"/>
      <c r="C209" s="33" t="s">
        <v>42</v>
      </c>
      <c r="D209" s="33" t="s">
        <v>43</v>
      </c>
      <c r="E209" s="33" t="s">
        <v>44</v>
      </c>
      <c r="F209" s="33" t="s">
        <v>45</v>
      </c>
      <c r="G209" s="33" t="s">
        <v>46</v>
      </c>
      <c r="H209" s="33" t="s">
        <v>47</v>
      </c>
      <c r="I209" s="33"/>
      <c r="J209" s="44"/>
      <c r="K209"/>
      <c r="L209"/>
      <c r="M209"/>
      <c r="N209"/>
      <c r="O209"/>
      <c r="P209"/>
    </row>
    <row r="210" spans="1:16" s="1" customFormat="1" ht="12.75" customHeight="1" x14ac:dyDescent="0.25">
      <c r="A210" s="26" t="s">
        <v>752</v>
      </c>
      <c r="B210" s="26" t="s">
        <v>49</v>
      </c>
      <c r="C210" s="30" t="s">
        <v>50</v>
      </c>
      <c r="D210" s="35" t="s">
        <v>508</v>
      </c>
      <c r="E210" s="70">
        <v>0.25</v>
      </c>
      <c r="F210" s="38">
        <v>8</v>
      </c>
      <c r="G210" s="38">
        <v>3</v>
      </c>
      <c r="H210" s="38">
        <v>1.4</v>
      </c>
      <c r="I210" s="38" t="s">
        <v>753</v>
      </c>
      <c r="J210" s="34">
        <f>IFERROR(_xlfn.XLOOKUP(I210,Index!$A:$A,Index!$B:$B),"")</f>
        <v>616</v>
      </c>
      <c r="K210"/>
      <c r="L210"/>
      <c r="M210"/>
      <c r="N210"/>
      <c r="O210"/>
      <c r="P210"/>
    </row>
    <row r="211" spans="1:16" s="1" customFormat="1" x14ac:dyDescent="0.25">
      <c r="A211" s="26"/>
      <c r="B211" s="26"/>
      <c r="C211" s="30"/>
      <c r="D211" s="35" t="s">
        <v>508</v>
      </c>
      <c r="E211" s="64">
        <v>0.375</v>
      </c>
      <c r="F211" s="45">
        <v>10</v>
      </c>
      <c r="G211" s="35">
        <v>4</v>
      </c>
      <c r="H211" s="40">
        <v>1.8</v>
      </c>
      <c r="I211" s="38" t="s">
        <v>754</v>
      </c>
      <c r="J211" s="34">
        <f>IFERROR(_xlfn.XLOOKUP(I211,Index!$A:$A,Index!$B:$B),"")</f>
        <v>616</v>
      </c>
      <c r="K211"/>
      <c r="L211"/>
      <c r="M211"/>
      <c r="N211"/>
      <c r="O211"/>
      <c r="P211"/>
    </row>
    <row r="212" spans="1:16" s="1" customFormat="1" x14ac:dyDescent="0.25">
      <c r="A212" s="26"/>
      <c r="B212" s="26"/>
      <c r="C212" s="30"/>
      <c r="D212" s="35" t="s">
        <v>508</v>
      </c>
      <c r="E212" s="64">
        <v>0.5</v>
      </c>
      <c r="F212" s="45">
        <v>15</v>
      </c>
      <c r="G212" s="35">
        <v>7</v>
      </c>
      <c r="H212" s="40">
        <v>3.2</v>
      </c>
      <c r="I212" s="38" t="s">
        <v>755</v>
      </c>
      <c r="J212" s="34">
        <f>IFERROR(_xlfn.XLOOKUP(I212,Index!$A:$A,Index!$B:$B),"")</f>
        <v>616</v>
      </c>
      <c r="K212"/>
      <c r="L212"/>
      <c r="M212"/>
      <c r="N212"/>
      <c r="O212"/>
      <c r="P212"/>
    </row>
    <row r="213" spans="1:16" s="1" customFormat="1" ht="12.75" customHeight="1" x14ac:dyDescent="0.25">
      <c r="A213" s="26"/>
      <c r="B213" s="26"/>
      <c r="C213" s="30"/>
      <c r="D213" s="35" t="s">
        <v>508</v>
      </c>
      <c r="E213" s="64">
        <v>0.75</v>
      </c>
      <c r="F213" s="45">
        <v>20</v>
      </c>
      <c r="G213" s="35">
        <v>10</v>
      </c>
      <c r="H213" s="40">
        <v>4.5</v>
      </c>
      <c r="I213" s="38" t="s">
        <v>756</v>
      </c>
      <c r="J213" s="34">
        <f>IFERROR(_xlfn.XLOOKUP(I213,Index!$A:$A,Index!$B:$B),"")</f>
        <v>643.5</v>
      </c>
      <c r="K213"/>
      <c r="L213"/>
      <c r="M213"/>
      <c r="N213"/>
      <c r="O213"/>
      <c r="P213"/>
    </row>
    <row r="214" spans="1:16" s="1" customFormat="1" ht="12.75" customHeight="1" x14ac:dyDescent="0.25">
      <c r="A214" s="26"/>
      <c r="B214" s="26"/>
      <c r="C214" s="30"/>
      <c r="D214" s="35" t="s">
        <v>508</v>
      </c>
      <c r="E214" s="64">
        <v>1</v>
      </c>
      <c r="F214" s="45">
        <v>25</v>
      </c>
      <c r="G214" s="35">
        <v>16</v>
      </c>
      <c r="H214" s="40">
        <v>7.3</v>
      </c>
      <c r="I214" s="38" t="s">
        <v>757</v>
      </c>
      <c r="J214" s="34">
        <f>IFERROR(_xlfn.XLOOKUP(I214,Index!$A:$A,Index!$B:$B),"")</f>
        <v>752</v>
      </c>
      <c r="K214"/>
      <c r="L214"/>
      <c r="M214"/>
      <c r="N214"/>
      <c r="O214"/>
      <c r="P214"/>
    </row>
    <row r="215" spans="1:16" s="1" customFormat="1" ht="12.75" customHeight="1" x14ac:dyDescent="0.25">
      <c r="A215" s="26"/>
      <c r="B215" s="26"/>
      <c r="C215" s="30"/>
      <c r="D215" s="35" t="s">
        <v>508</v>
      </c>
      <c r="E215" s="64">
        <v>1.25</v>
      </c>
      <c r="F215" s="45">
        <v>32</v>
      </c>
      <c r="G215" s="35">
        <v>22</v>
      </c>
      <c r="H215" s="40">
        <v>10</v>
      </c>
      <c r="I215" s="38" t="s">
        <v>758</v>
      </c>
      <c r="J215" s="34">
        <f>IFERROR(_xlfn.XLOOKUP(I215,Index!$A:$A,Index!$B:$B),"")</f>
        <v>953.5</v>
      </c>
      <c r="K215"/>
      <c r="L215"/>
      <c r="M215"/>
      <c r="N215"/>
      <c r="O215"/>
      <c r="P215"/>
    </row>
    <row r="216" spans="1:16" s="1" customFormat="1" ht="12.75" customHeight="1" x14ac:dyDescent="0.25">
      <c r="A216" s="26"/>
      <c r="B216" s="26"/>
      <c r="C216" s="30"/>
      <c r="D216" s="35" t="s">
        <v>508</v>
      </c>
      <c r="E216" s="64">
        <v>1.5</v>
      </c>
      <c r="F216" s="45">
        <v>40</v>
      </c>
      <c r="G216" s="35">
        <v>43</v>
      </c>
      <c r="H216" s="40">
        <v>19.5</v>
      </c>
      <c r="I216" s="38" t="s">
        <v>759</v>
      </c>
      <c r="J216" s="34">
        <f>IFERROR(_xlfn.XLOOKUP(I216,Index!$A:$A,Index!$B:$B),"")</f>
        <v>1237</v>
      </c>
      <c r="K216"/>
      <c r="L216"/>
      <c r="M216"/>
      <c r="N216"/>
      <c r="O216"/>
      <c r="P216"/>
    </row>
    <row r="217" spans="1:16" s="1" customFormat="1" ht="12.75" customHeight="1" x14ac:dyDescent="0.25">
      <c r="A217" s="27"/>
      <c r="B217" s="27"/>
      <c r="C217" s="31"/>
      <c r="D217" s="35" t="s">
        <v>508</v>
      </c>
      <c r="E217" s="64">
        <v>2</v>
      </c>
      <c r="F217" s="45">
        <v>50</v>
      </c>
      <c r="G217" s="35">
        <v>43</v>
      </c>
      <c r="H217" s="40">
        <v>19.5</v>
      </c>
      <c r="I217" s="38" t="s">
        <v>760</v>
      </c>
      <c r="J217" s="34">
        <f>IFERROR(_xlfn.XLOOKUP(I217,Index!$A:$A,Index!$B:$B),"")</f>
        <v>1638</v>
      </c>
      <c r="K217" s="257"/>
      <c r="L217"/>
      <c r="M217"/>
      <c r="N217"/>
      <c r="O217"/>
      <c r="P217"/>
    </row>
    <row r="218" spans="1:16" s="1" customFormat="1" ht="12.75" customHeight="1" x14ac:dyDescent="0.25">
      <c r="A218" s="12"/>
      <c r="B218" s="12"/>
      <c r="C218" s="4"/>
      <c r="D218" s="4"/>
      <c r="E218" s="80"/>
      <c r="F218" s="81"/>
      <c r="G218" s="4"/>
      <c r="H218" s="19"/>
      <c r="I218" s="19"/>
      <c r="J218" s="84"/>
      <c r="K218"/>
      <c r="L218"/>
      <c r="M218"/>
      <c r="N218"/>
      <c r="O218"/>
      <c r="P218"/>
    </row>
    <row r="219" spans="1:16" s="1" customFormat="1" ht="15.75" x14ac:dyDescent="0.25">
      <c r="A219" s="62" t="s">
        <v>5779</v>
      </c>
      <c r="B219" s="62" t="s">
        <v>650</v>
      </c>
      <c r="C219" s="14"/>
      <c r="D219" s="3"/>
      <c r="E219" s="8"/>
      <c r="F219" s="9"/>
      <c r="G219" s="10"/>
      <c r="H219" s="19"/>
      <c r="I219" s="19"/>
      <c r="J219" s="20"/>
      <c r="K219"/>
      <c r="L219"/>
      <c r="M219"/>
      <c r="N219"/>
      <c r="O219"/>
      <c r="P219"/>
    </row>
    <row r="220" spans="1:16" s="1" customFormat="1" ht="15.75" x14ac:dyDescent="0.25">
      <c r="A220" s="48" t="s">
        <v>751</v>
      </c>
      <c r="B220" s="11"/>
      <c r="C220" s="4"/>
      <c r="D220" s="4"/>
      <c r="E220" s="5"/>
      <c r="F220" s="9"/>
      <c r="G220" s="4"/>
      <c r="H220" s="19"/>
      <c r="I220" s="19"/>
      <c r="J220" s="20"/>
      <c r="K220"/>
      <c r="L220"/>
      <c r="M220"/>
      <c r="N220"/>
      <c r="O220"/>
      <c r="P220"/>
    </row>
    <row r="221" spans="1:16" s="1" customFormat="1" ht="12.75" customHeight="1" x14ac:dyDescent="0.25">
      <c r="A221" s="25" t="s">
        <v>35</v>
      </c>
      <c r="B221" s="28" t="s">
        <v>36</v>
      </c>
      <c r="C221" s="333" t="s">
        <v>37</v>
      </c>
      <c r="D221" s="334"/>
      <c r="E221" s="335" t="s">
        <v>38</v>
      </c>
      <c r="F221" s="336"/>
      <c r="G221" s="335" t="s">
        <v>39</v>
      </c>
      <c r="H221" s="336"/>
      <c r="I221" s="42" t="s">
        <v>40</v>
      </c>
      <c r="J221" s="43" t="s">
        <v>41</v>
      </c>
      <c r="K221"/>
      <c r="L221"/>
      <c r="M221"/>
      <c r="N221"/>
      <c r="O221"/>
      <c r="P221"/>
    </row>
    <row r="222" spans="1:16" s="1" customFormat="1" ht="12.75" customHeight="1" x14ac:dyDescent="0.25">
      <c r="A222" s="32"/>
      <c r="B222" s="32"/>
      <c r="C222" s="33" t="s">
        <v>42</v>
      </c>
      <c r="D222" s="33" t="s">
        <v>43</v>
      </c>
      <c r="E222" s="33" t="s">
        <v>44</v>
      </c>
      <c r="F222" s="33" t="s">
        <v>45</v>
      </c>
      <c r="G222" s="33" t="s">
        <v>46</v>
      </c>
      <c r="H222" s="33" t="s">
        <v>47</v>
      </c>
      <c r="I222" s="33"/>
      <c r="J222" s="44"/>
      <c r="K222"/>
      <c r="L222"/>
      <c r="M222"/>
      <c r="N222"/>
      <c r="O222"/>
      <c r="P222"/>
    </row>
    <row r="223" spans="1:16" s="1" customFormat="1" ht="12.75" customHeight="1" x14ac:dyDescent="0.25">
      <c r="A223" s="26" t="s">
        <v>5780</v>
      </c>
      <c r="B223" s="26" t="s">
        <v>49</v>
      </c>
      <c r="C223" s="30" t="s">
        <v>50</v>
      </c>
      <c r="D223" s="35" t="s">
        <v>508</v>
      </c>
      <c r="E223" s="64">
        <v>0.5</v>
      </c>
      <c r="F223" s="45">
        <v>15</v>
      </c>
      <c r="G223" s="35">
        <v>3</v>
      </c>
      <c r="H223" s="40">
        <v>1.4</v>
      </c>
      <c r="I223" s="38" t="s">
        <v>5781</v>
      </c>
      <c r="J223" s="34">
        <f>IFERROR(_xlfn.XLOOKUP(I223,Index!$A:$A,Index!$B:$B),"")</f>
        <v>1248</v>
      </c>
      <c r="K223"/>
      <c r="L223"/>
      <c r="M223"/>
      <c r="N223"/>
      <c r="O223"/>
      <c r="P223"/>
    </row>
    <row r="224" spans="1:16" s="1" customFormat="1" x14ac:dyDescent="0.25">
      <c r="A224" s="26"/>
      <c r="B224" s="26"/>
      <c r="C224" s="30"/>
      <c r="D224" s="35" t="s">
        <v>508</v>
      </c>
      <c r="E224" s="64">
        <v>0.75</v>
      </c>
      <c r="F224" s="45">
        <v>20</v>
      </c>
      <c r="G224" s="35">
        <v>4</v>
      </c>
      <c r="H224" s="40">
        <v>1.8</v>
      </c>
      <c r="I224" s="38" t="s">
        <v>5782</v>
      </c>
      <c r="J224" s="34">
        <f>IFERROR(_xlfn.XLOOKUP(I224,Index!$A:$A,Index!$B:$B),"")</f>
        <v>1371</v>
      </c>
      <c r="K224"/>
      <c r="L224"/>
      <c r="M224"/>
      <c r="N224"/>
      <c r="O224"/>
      <c r="P224"/>
    </row>
    <row r="225" spans="1:16" s="1" customFormat="1" x14ac:dyDescent="0.25">
      <c r="A225" s="26"/>
      <c r="B225" s="26"/>
      <c r="C225" s="30"/>
      <c r="D225" s="35" t="s">
        <v>508</v>
      </c>
      <c r="E225" s="64">
        <v>1</v>
      </c>
      <c r="F225" s="45">
        <v>25</v>
      </c>
      <c r="G225" s="35">
        <v>7</v>
      </c>
      <c r="H225" s="40">
        <v>3.2</v>
      </c>
      <c r="I225" s="38" t="s">
        <v>5783</v>
      </c>
      <c r="J225" s="34">
        <f>IFERROR(_xlfn.XLOOKUP(I225,Index!$A:$A,Index!$B:$B),"")</f>
        <v>1686</v>
      </c>
      <c r="K225"/>
      <c r="L225"/>
      <c r="M225"/>
      <c r="N225"/>
      <c r="O225"/>
      <c r="P225"/>
    </row>
    <row r="226" spans="1:16" s="1" customFormat="1" ht="12.75" customHeight="1" x14ac:dyDescent="0.25">
      <c r="A226" s="26"/>
      <c r="B226" s="26"/>
      <c r="C226" s="30"/>
      <c r="D226" s="35" t="s">
        <v>508</v>
      </c>
      <c r="E226" s="64">
        <v>1.25</v>
      </c>
      <c r="F226" s="45">
        <v>32</v>
      </c>
      <c r="G226" s="35">
        <v>10</v>
      </c>
      <c r="H226" s="40">
        <v>4.5</v>
      </c>
      <c r="I226" s="38" t="s">
        <v>5784</v>
      </c>
      <c r="J226" s="34">
        <f>IFERROR(_xlfn.XLOOKUP(I226,Index!$A:$A,Index!$B:$B),"")</f>
        <v>2270</v>
      </c>
      <c r="K226"/>
      <c r="L226"/>
      <c r="M226"/>
      <c r="N226"/>
      <c r="O226"/>
      <c r="P226"/>
    </row>
    <row r="227" spans="1:16" s="1" customFormat="1" ht="12.75" customHeight="1" x14ac:dyDescent="0.25">
      <c r="A227" s="26"/>
      <c r="B227" s="26"/>
      <c r="C227" s="30"/>
      <c r="D227" s="35" t="s">
        <v>508</v>
      </c>
      <c r="E227" s="64">
        <v>1.5</v>
      </c>
      <c r="F227" s="45">
        <v>40</v>
      </c>
      <c r="G227" s="35">
        <v>16</v>
      </c>
      <c r="H227" s="40">
        <v>7.3</v>
      </c>
      <c r="I227" s="38" t="s">
        <v>5785</v>
      </c>
      <c r="J227" s="34">
        <f>IFERROR(_xlfn.XLOOKUP(I227,Index!$A:$A,Index!$B:$B),"")</f>
        <v>2515</v>
      </c>
      <c r="K227"/>
      <c r="L227"/>
      <c r="M227"/>
      <c r="N227"/>
      <c r="O227"/>
      <c r="P227"/>
    </row>
    <row r="228" spans="1:16" s="1" customFormat="1" ht="12.75" customHeight="1" x14ac:dyDescent="0.25">
      <c r="A228" s="26"/>
      <c r="B228" s="26"/>
      <c r="C228" s="30"/>
      <c r="D228" s="35" t="s">
        <v>508</v>
      </c>
      <c r="E228" s="64">
        <v>2</v>
      </c>
      <c r="F228" s="45">
        <v>50</v>
      </c>
      <c r="G228" s="35">
        <v>22</v>
      </c>
      <c r="H228" s="40">
        <v>10</v>
      </c>
      <c r="I228" s="38" t="s">
        <v>5786</v>
      </c>
      <c r="J228" s="34">
        <f>IFERROR(_xlfn.XLOOKUP(I228,Index!$A:$A,Index!$B:$B),"")</f>
        <v>2833</v>
      </c>
      <c r="K228"/>
      <c r="L228"/>
      <c r="M228"/>
      <c r="N228"/>
      <c r="O228"/>
      <c r="P228"/>
    </row>
    <row r="229" spans="1:16" s="1" customFormat="1" ht="12.75" customHeight="1" x14ac:dyDescent="0.25">
      <c r="A229" s="26"/>
      <c r="B229" s="26"/>
      <c r="C229" s="30"/>
      <c r="D229" s="35" t="s">
        <v>508</v>
      </c>
      <c r="E229" s="64">
        <v>2.5</v>
      </c>
      <c r="F229" s="45">
        <v>65</v>
      </c>
      <c r="G229" s="35">
        <v>42</v>
      </c>
      <c r="H229" s="40">
        <v>19.100000000000001</v>
      </c>
      <c r="I229" s="38" t="s">
        <v>5787</v>
      </c>
      <c r="J229" s="34">
        <f>IFERROR(_xlfn.XLOOKUP(I229,Index!$A:$A,Index!$B:$B),"")</f>
        <v>4352</v>
      </c>
      <c r="K229"/>
      <c r="L229"/>
      <c r="M229"/>
      <c r="N229"/>
      <c r="O229"/>
      <c r="P229"/>
    </row>
    <row r="230" spans="1:16" s="1" customFormat="1" ht="12.75" customHeight="1" x14ac:dyDescent="0.25">
      <c r="A230" s="27"/>
      <c r="B230" s="27"/>
      <c r="C230" s="31"/>
      <c r="D230" s="35" t="s">
        <v>508</v>
      </c>
      <c r="E230" s="64">
        <v>3</v>
      </c>
      <c r="F230" s="45">
        <v>80</v>
      </c>
      <c r="G230" s="35">
        <v>43</v>
      </c>
      <c r="H230" s="40">
        <v>19.5</v>
      </c>
      <c r="I230" s="38" t="s">
        <v>5542</v>
      </c>
      <c r="J230" s="34">
        <f>J229+350</f>
        <v>4702</v>
      </c>
      <c r="K230" s="257"/>
      <c r="L230"/>
      <c r="M230"/>
      <c r="N230"/>
      <c r="O230"/>
      <c r="P230"/>
    </row>
    <row r="231" spans="1:16" s="1" customFormat="1" ht="12.75" customHeight="1" x14ac:dyDescent="0.25">
      <c r="A231" s="12"/>
      <c r="B231" s="12"/>
      <c r="C231" s="4"/>
      <c r="D231" s="4"/>
      <c r="E231" s="5"/>
      <c r="F231" s="13"/>
      <c r="G231" s="4"/>
      <c r="H231" s="19"/>
      <c r="I231" s="19"/>
      <c r="J231" s="20"/>
      <c r="K231"/>
      <c r="L231"/>
      <c r="M231"/>
      <c r="N231"/>
      <c r="O231"/>
      <c r="P231"/>
    </row>
    <row r="232" spans="1:16" s="1" customFormat="1" ht="15.75" x14ac:dyDescent="0.25">
      <c r="A232" s="71" t="s">
        <v>14</v>
      </c>
      <c r="B232" s="71" t="s">
        <v>650</v>
      </c>
      <c r="C232" s="72"/>
      <c r="D232" s="73"/>
      <c r="E232" s="74"/>
      <c r="F232" s="75"/>
      <c r="G232" s="76"/>
      <c r="H232" s="77"/>
      <c r="I232" s="77"/>
      <c r="J232" s="78"/>
      <c r="K232"/>
      <c r="L232"/>
      <c r="M232"/>
      <c r="N232"/>
      <c r="O232"/>
      <c r="P232"/>
    </row>
    <row r="233" spans="1:16" s="1" customFormat="1" ht="15.75" x14ac:dyDescent="0.25">
      <c r="A233" s="48" t="s">
        <v>761</v>
      </c>
      <c r="B233" s="11"/>
      <c r="C233" s="4"/>
      <c r="D233" s="4"/>
      <c r="E233" s="5"/>
      <c r="F233" s="9"/>
      <c r="G233" s="4"/>
      <c r="H233" s="19"/>
      <c r="I233" s="19"/>
      <c r="J233" s="20"/>
      <c r="K233"/>
      <c r="L233"/>
      <c r="M233"/>
      <c r="N233"/>
      <c r="O233"/>
      <c r="P233"/>
    </row>
    <row r="234" spans="1:16" s="1" customFormat="1" ht="12.75" customHeight="1" x14ac:dyDescent="0.25">
      <c r="A234" s="25" t="s">
        <v>35</v>
      </c>
      <c r="B234" s="28" t="s">
        <v>36</v>
      </c>
      <c r="C234" s="333" t="s">
        <v>37</v>
      </c>
      <c r="D234" s="334"/>
      <c r="E234" s="335" t="s">
        <v>38</v>
      </c>
      <c r="F234" s="336"/>
      <c r="G234" s="335" t="s">
        <v>39</v>
      </c>
      <c r="H234" s="336"/>
      <c r="I234" s="42" t="s">
        <v>40</v>
      </c>
      <c r="J234" s="43" t="s">
        <v>41</v>
      </c>
      <c r="K234"/>
      <c r="L234"/>
      <c r="M234"/>
      <c r="N234"/>
      <c r="O234"/>
      <c r="P234"/>
    </row>
    <row r="235" spans="1:16" s="1" customFormat="1" ht="12.75" customHeight="1" x14ac:dyDescent="0.25">
      <c r="A235" s="32"/>
      <c r="B235" s="32"/>
      <c r="C235" s="33" t="s">
        <v>42</v>
      </c>
      <c r="D235" s="33" t="s">
        <v>43</v>
      </c>
      <c r="E235" s="33" t="s">
        <v>44</v>
      </c>
      <c r="F235" s="33" t="s">
        <v>45</v>
      </c>
      <c r="G235" s="33" t="s">
        <v>46</v>
      </c>
      <c r="H235" s="33" t="s">
        <v>47</v>
      </c>
      <c r="I235" s="33"/>
      <c r="J235" s="44"/>
      <c r="K235"/>
      <c r="L235"/>
      <c r="M235"/>
      <c r="N235"/>
      <c r="O235"/>
      <c r="P235"/>
    </row>
    <row r="236" spans="1:16" s="1" customFormat="1" ht="12.75" customHeight="1" x14ac:dyDescent="0.25">
      <c r="A236" s="26" t="s">
        <v>762</v>
      </c>
      <c r="B236" s="26" t="s">
        <v>723</v>
      </c>
      <c r="C236" s="30" t="s">
        <v>50</v>
      </c>
      <c r="D236" s="35" t="s">
        <v>763</v>
      </c>
      <c r="E236" s="70">
        <v>0.25</v>
      </c>
      <c r="F236" s="38">
        <v>8</v>
      </c>
      <c r="G236" s="38">
        <v>1</v>
      </c>
      <c r="H236" s="38">
        <v>0.5</v>
      </c>
      <c r="I236" s="38" t="s">
        <v>764</v>
      </c>
      <c r="J236" s="34">
        <f>IFERROR(_xlfn.XLOOKUP(I236,Index!$A:$A,Index!$B:$B),"")</f>
        <v>679.5</v>
      </c>
      <c r="K236"/>
      <c r="L236"/>
      <c r="M236"/>
      <c r="N236"/>
      <c r="O236"/>
      <c r="P236"/>
    </row>
    <row r="237" spans="1:16" s="1" customFormat="1" ht="12.75" customHeight="1" x14ac:dyDescent="0.25">
      <c r="A237" s="26"/>
      <c r="B237" s="26"/>
      <c r="C237" s="30"/>
      <c r="D237" s="35" t="s">
        <v>508</v>
      </c>
      <c r="E237" s="64">
        <v>0.375</v>
      </c>
      <c r="F237" s="45">
        <v>10</v>
      </c>
      <c r="G237" s="35">
        <v>1</v>
      </c>
      <c r="H237" s="40">
        <v>0.5</v>
      </c>
      <c r="I237" s="38" t="s">
        <v>5542</v>
      </c>
      <c r="J237" s="34">
        <f>J236</f>
        <v>679.5</v>
      </c>
      <c r="K237"/>
      <c r="L237"/>
      <c r="M237"/>
      <c r="N237"/>
      <c r="O237"/>
      <c r="P237"/>
    </row>
    <row r="238" spans="1:16" s="1" customFormat="1" ht="12.75" customHeight="1" x14ac:dyDescent="0.25">
      <c r="A238" s="26"/>
      <c r="B238" s="26"/>
      <c r="C238" s="30"/>
      <c r="D238" s="35" t="s">
        <v>508</v>
      </c>
      <c r="E238" s="64">
        <v>0.5</v>
      </c>
      <c r="F238" s="45">
        <v>15</v>
      </c>
      <c r="G238" s="35">
        <v>2</v>
      </c>
      <c r="H238" s="40">
        <v>0.9</v>
      </c>
      <c r="I238" s="38" t="s">
        <v>766</v>
      </c>
      <c r="J238" s="34">
        <f>IFERROR(_xlfn.XLOOKUP(I238,Index!$A:$A,Index!$B:$B),"")</f>
        <v>679.5</v>
      </c>
      <c r="K238"/>
      <c r="L238"/>
      <c r="M238"/>
      <c r="N238"/>
      <c r="O238"/>
      <c r="P238"/>
    </row>
    <row r="239" spans="1:16" s="1" customFormat="1" ht="12.75" customHeight="1" x14ac:dyDescent="0.25">
      <c r="A239" s="26"/>
      <c r="B239" s="26"/>
      <c r="C239" s="30"/>
      <c r="D239" s="35" t="s">
        <v>508</v>
      </c>
      <c r="E239" s="64">
        <v>0.75</v>
      </c>
      <c r="F239" s="45">
        <v>20</v>
      </c>
      <c r="G239" s="35">
        <v>4</v>
      </c>
      <c r="H239" s="40">
        <v>1.8</v>
      </c>
      <c r="I239" s="38" t="s">
        <v>767</v>
      </c>
      <c r="J239" s="34">
        <f>IFERROR(_xlfn.XLOOKUP(I239,Index!$A:$A,Index!$B:$B),"")</f>
        <v>707</v>
      </c>
      <c r="K239"/>
      <c r="L239"/>
      <c r="M239"/>
      <c r="N239"/>
      <c r="O239"/>
      <c r="P239"/>
    </row>
    <row r="240" spans="1:16" s="1" customFormat="1" ht="12.75" customHeight="1" x14ac:dyDescent="0.25">
      <c r="A240" s="26"/>
      <c r="B240" s="26"/>
      <c r="C240" s="30"/>
      <c r="D240" s="35" t="s">
        <v>508</v>
      </c>
      <c r="E240" s="64">
        <v>1</v>
      </c>
      <c r="F240" s="45">
        <v>25</v>
      </c>
      <c r="G240" s="35">
        <v>6</v>
      </c>
      <c r="H240" s="40">
        <v>2.7</v>
      </c>
      <c r="I240" s="38" t="s">
        <v>768</v>
      </c>
      <c r="J240" s="34">
        <f>IFERROR(_xlfn.XLOOKUP(I240,Index!$A:$A,Index!$B:$B),"")</f>
        <v>825</v>
      </c>
      <c r="K240"/>
      <c r="L240"/>
      <c r="M240"/>
      <c r="N240"/>
      <c r="O240"/>
      <c r="P240"/>
    </row>
    <row r="241" spans="1:16" s="1" customFormat="1" ht="12.75" customHeight="1" x14ac:dyDescent="0.25">
      <c r="A241" s="26"/>
      <c r="B241" s="26"/>
      <c r="C241" s="30"/>
      <c r="D241" s="35" t="s">
        <v>508</v>
      </c>
      <c r="E241" s="64">
        <v>1.25</v>
      </c>
      <c r="F241" s="45">
        <v>32</v>
      </c>
      <c r="G241" s="35">
        <v>8</v>
      </c>
      <c r="H241" s="40">
        <v>3.6</v>
      </c>
      <c r="I241" s="38" t="s">
        <v>769</v>
      </c>
      <c r="J241" s="34">
        <f>IFERROR(_xlfn.XLOOKUP(I241,Index!$A:$A,Index!$B:$B),"")</f>
        <v>1045</v>
      </c>
      <c r="K241"/>
      <c r="L241"/>
      <c r="M241"/>
      <c r="N241"/>
      <c r="O241"/>
      <c r="P241"/>
    </row>
    <row r="242" spans="1:16" s="1" customFormat="1" ht="12.75" customHeight="1" x14ac:dyDescent="0.25">
      <c r="A242" s="26"/>
      <c r="B242" s="26"/>
      <c r="C242" s="30"/>
      <c r="D242" s="35" t="s">
        <v>508</v>
      </c>
      <c r="E242" s="64">
        <v>1.5</v>
      </c>
      <c r="F242" s="45">
        <v>40</v>
      </c>
      <c r="G242" s="35">
        <v>10</v>
      </c>
      <c r="H242" s="40">
        <v>4.5</v>
      </c>
      <c r="I242" s="38" t="s">
        <v>770</v>
      </c>
      <c r="J242" s="34">
        <f>IFERROR(_xlfn.XLOOKUP(I242,Index!$A:$A,Index!$B:$B),"")</f>
        <v>1365</v>
      </c>
      <c r="K242"/>
      <c r="L242"/>
      <c r="M242"/>
      <c r="N242"/>
      <c r="O242"/>
      <c r="P242"/>
    </row>
    <row r="243" spans="1:16" s="1" customFormat="1" ht="12.75" customHeight="1" x14ac:dyDescent="0.25">
      <c r="A243" s="27"/>
      <c r="B243" s="27"/>
      <c r="C243" s="31"/>
      <c r="D243" s="35" t="s">
        <v>508</v>
      </c>
      <c r="E243" s="64">
        <v>2</v>
      </c>
      <c r="F243" s="45">
        <v>50</v>
      </c>
      <c r="G243" s="35">
        <v>14</v>
      </c>
      <c r="H243" s="40">
        <v>6.4</v>
      </c>
      <c r="I243" s="38" t="s">
        <v>771</v>
      </c>
      <c r="J243" s="34">
        <f>IFERROR(_xlfn.XLOOKUP(I243,Index!$A:$A,Index!$B:$B),"")</f>
        <v>1802</v>
      </c>
      <c r="K243"/>
      <c r="L243"/>
      <c r="M243"/>
      <c r="N243"/>
      <c r="O243"/>
      <c r="P243"/>
    </row>
    <row r="244" spans="1:16" s="1" customFormat="1" ht="12.75" customHeight="1" x14ac:dyDescent="0.25">
      <c r="A244" s="12"/>
      <c r="B244" s="12"/>
      <c r="C244" s="4"/>
      <c r="D244" s="4"/>
      <c r="E244" s="5"/>
      <c r="F244" s="13"/>
      <c r="G244" s="4"/>
      <c r="H244" s="19"/>
      <c r="I244" s="19"/>
      <c r="J244" s="20"/>
      <c r="K244"/>
      <c r="L244"/>
      <c r="M244"/>
      <c r="N244"/>
      <c r="O244"/>
      <c r="P244"/>
    </row>
    <row r="245" spans="1:16" s="1" customFormat="1" ht="15.75" x14ac:dyDescent="0.25">
      <c r="A245" s="62" t="s">
        <v>5789</v>
      </c>
      <c r="B245" s="62" t="s">
        <v>650</v>
      </c>
      <c r="C245" s="14"/>
      <c r="D245" s="3"/>
      <c r="E245" s="8"/>
      <c r="F245" s="9"/>
      <c r="G245" s="10"/>
      <c r="H245" s="19"/>
      <c r="I245" s="19"/>
      <c r="J245" s="20"/>
      <c r="K245"/>
      <c r="L245"/>
      <c r="M245"/>
      <c r="N245"/>
      <c r="O245"/>
      <c r="P245"/>
    </row>
    <row r="246" spans="1:16" s="1" customFormat="1" ht="15.75" x14ac:dyDescent="0.25">
      <c r="A246" s="48" t="s">
        <v>751</v>
      </c>
      <c r="B246" s="11"/>
      <c r="C246" s="4"/>
      <c r="D246" s="4"/>
      <c r="E246" s="5"/>
      <c r="F246" s="9"/>
      <c r="G246" s="4"/>
      <c r="H246" s="19"/>
      <c r="I246" s="19"/>
      <c r="J246" s="20"/>
      <c r="K246"/>
      <c r="L246"/>
      <c r="M246"/>
      <c r="N246"/>
      <c r="O246"/>
      <c r="P246"/>
    </row>
    <row r="247" spans="1:16" s="1" customFormat="1" ht="12.75" customHeight="1" x14ac:dyDescent="0.25">
      <c r="A247" s="25" t="s">
        <v>35</v>
      </c>
      <c r="B247" s="28" t="s">
        <v>36</v>
      </c>
      <c r="C247" s="333" t="s">
        <v>37</v>
      </c>
      <c r="D247" s="334"/>
      <c r="E247" s="335" t="s">
        <v>38</v>
      </c>
      <c r="F247" s="336"/>
      <c r="G247" s="335" t="s">
        <v>39</v>
      </c>
      <c r="H247" s="336"/>
      <c r="I247" s="42" t="s">
        <v>40</v>
      </c>
      <c r="J247" s="43" t="s">
        <v>41</v>
      </c>
      <c r="K247"/>
      <c r="L247"/>
      <c r="M247"/>
      <c r="N247"/>
      <c r="O247"/>
      <c r="P247"/>
    </row>
    <row r="248" spans="1:16" s="1" customFormat="1" ht="12.75" customHeight="1" x14ac:dyDescent="0.25">
      <c r="A248" s="32"/>
      <c r="B248" s="32"/>
      <c r="C248" s="33" t="s">
        <v>42</v>
      </c>
      <c r="D248" s="33" t="s">
        <v>43</v>
      </c>
      <c r="E248" s="33" t="s">
        <v>44</v>
      </c>
      <c r="F248" s="33" t="s">
        <v>45</v>
      </c>
      <c r="G248" s="33" t="s">
        <v>46</v>
      </c>
      <c r="H248" s="33" t="s">
        <v>47</v>
      </c>
      <c r="I248" s="33"/>
      <c r="J248" s="44"/>
      <c r="K248"/>
      <c r="L248"/>
      <c r="M248"/>
      <c r="N248"/>
      <c r="O248"/>
      <c r="P248"/>
    </row>
    <row r="249" spans="1:16" s="1" customFormat="1" ht="12.75" customHeight="1" x14ac:dyDescent="0.25">
      <c r="A249" s="26" t="s">
        <v>5790</v>
      </c>
      <c r="B249" s="26" t="s">
        <v>723</v>
      </c>
      <c r="C249" s="30" t="s">
        <v>50</v>
      </c>
      <c r="D249" s="35" t="s">
        <v>508</v>
      </c>
      <c r="E249" s="64">
        <v>0.5</v>
      </c>
      <c r="F249" s="45">
        <v>15</v>
      </c>
      <c r="G249" s="35">
        <v>3</v>
      </c>
      <c r="H249" s="40">
        <v>1.4</v>
      </c>
      <c r="I249" s="38" t="s">
        <v>5791</v>
      </c>
      <c r="J249" s="34">
        <f>IFERROR(_xlfn.XLOOKUP(I249,Index!$A:$A,Index!$B:$B),"")</f>
        <v>1248</v>
      </c>
      <c r="K249"/>
      <c r="L249"/>
      <c r="M249"/>
      <c r="N249"/>
      <c r="O249"/>
      <c r="P249"/>
    </row>
    <row r="250" spans="1:16" s="1" customFormat="1" x14ac:dyDescent="0.25">
      <c r="A250" s="26"/>
      <c r="B250" s="26"/>
      <c r="C250" s="30"/>
      <c r="D250" s="35" t="s">
        <v>508</v>
      </c>
      <c r="E250" s="64">
        <v>0.75</v>
      </c>
      <c r="F250" s="45">
        <v>20</v>
      </c>
      <c r="G250" s="35">
        <v>4</v>
      </c>
      <c r="H250" s="40">
        <v>1.8</v>
      </c>
      <c r="I250" s="38" t="s">
        <v>5792</v>
      </c>
      <c r="J250" s="34">
        <f>IFERROR(_xlfn.XLOOKUP(I250,Index!$A:$A,Index!$B:$B),"")</f>
        <v>1371</v>
      </c>
      <c r="K250"/>
      <c r="L250"/>
      <c r="M250"/>
      <c r="N250"/>
      <c r="O250"/>
      <c r="P250"/>
    </row>
    <row r="251" spans="1:16" s="1" customFormat="1" x14ac:dyDescent="0.25">
      <c r="A251" s="26"/>
      <c r="B251" s="26"/>
      <c r="C251" s="30"/>
      <c r="D251" s="35" t="s">
        <v>508</v>
      </c>
      <c r="E251" s="64">
        <v>1</v>
      </c>
      <c r="F251" s="45">
        <v>25</v>
      </c>
      <c r="G251" s="35">
        <v>7</v>
      </c>
      <c r="H251" s="40">
        <v>3.2</v>
      </c>
      <c r="I251" s="38" t="s">
        <v>5793</v>
      </c>
      <c r="J251" s="34">
        <f>IFERROR(_xlfn.XLOOKUP(I251,Index!$A:$A,Index!$B:$B),"")</f>
        <v>1558</v>
      </c>
      <c r="K251"/>
      <c r="L251"/>
      <c r="M251"/>
      <c r="N251"/>
      <c r="O251"/>
      <c r="P251"/>
    </row>
    <row r="252" spans="1:16" s="1" customFormat="1" ht="12.75" customHeight="1" x14ac:dyDescent="0.25">
      <c r="A252" s="26"/>
      <c r="B252" s="26"/>
      <c r="C252" s="30"/>
      <c r="D252" s="35" t="s">
        <v>508</v>
      </c>
      <c r="E252" s="64">
        <v>1.25</v>
      </c>
      <c r="F252" s="45">
        <v>32</v>
      </c>
      <c r="G252" s="35">
        <v>10</v>
      </c>
      <c r="H252" s="40">
        <v>4.5</v>
      </c>
      <c r="I252" s="38" t="s">
        <v>5794</v>
      </c>
      <c r="J252" s="34">
        <f>IFERROR(_xlfn.XLOOKUP(I252,Index!$A:$A,Index!$B:$B),"")</f>
        <v>2487</v>
      </c>
      <c r="K252"/>
      <c r="L252"/>
      <c r="M252"/>
      <c r="N252"/>
      <c r="O252"/>
      <c r="P252"/>
    </row>
    <row r="253" spans="1:16" s="1" customFormat="1" ht="12.75" customHeight="1" x14ac:dyDescent="0.25">
      <c r="A253" s="26"/>
      <c r="B253" s="26"/>
      <c r="C253" s="30"/>
      <c r="D253" s="35" t="s">
        <v>508</v>
      </c>
      <c r="E253" s="64">
        <v>1.5</v>
      </c>
      <c r="F253" s="45">
        <v>40</v>
      </c>
      <c r="G253" s="35">
        <v>16</v>
      </c>
      <c r="H253" s="40">
        <v>7.3</v>
      </c>
      <c r="I253" s="38" t="s">
        <v>5795</v>
      </c>
      <c r="J253" s="34">
        <f>IFERROR(_xlfn.XLOOKUP(I253,Index!$A:$A,Index!$B:$B),"")</f>
        <v>2772</v>
      </c>
      <c r="K253"/>
      <c r="L253"/>
      <c r="M253"/>
      <c r="N253"/>
      <c r="O253"/>
      <c r="P253"/>
    </row>
    <row r="254" spans="1:16" s="1" customFormat="1" ht="12.75" customHeight="1" x14ac:dyDescent="0.25">
      <c r="A254" s="26"/>
      <c r="B254" s="26"/>
      <c r="C254" s="30"/>
      <c r="D254" s="35" t="s">
        <v>508</v>
      </c>
      <c r="E254" s="64">
        <v>2</v>
      </c>
      <c r="F254" s="45">
        <v>50</v>
      </c>
      <c r="G254" s="35">
        <v>22</v>
      </c>
      <c r="H254" s="40">
        <v>10</v>
      </c>
      <c r="I254" s="38" t="s">
        <v>5796</v>
      </c>
      <c r="J254" s="34">
        <f>IFERROR(_xlfn.XLOOKUP(I254,Index!$A:$A,Index!$B:$B),"")</f>
        <v>3110</v>
      </c>
      <c r="K254"/>
      <c r="L254"/>
      <c r="M254"/>
      <c r="N254"/>
      <c r="O254"/>
      <c r="P254"/>
    </row>
    <row r="255" spans="1:16" s="1" customFormat="1" ht="12.75" customHeight="1" x14ac:dyDescent="0.25">
      <c r="A255" s="26"/>
      <c r="B255" s="26"/>
      <c r="C255" s="30"/>
      <c r="D255" s="35" t="s">
        <v>508</v>
      </c>
      <c r="E255" s="64">
        <v>2.5</v>
      </c>
      <c r="F255" s="45">
        <v>65</v>
      </c>
      <c r="G255" s="35">
        <v>42</v>
      </c>
      <c r="H255" s="40">
        <v>19.100000000000001</v>
      </c>
      <c r="I255" s="38" t="s">
        <v>5797</v>
      </c>
      <c r="J255" s="34">
        <f>IFERROR(_xlfn.XLOOKUP(I255,Index!$A:$A,Index!$B:$B),"")</f>
        <v>4751</v>
      </c>
      <c r="K255"/>
      <c r="L255"/>
      <c r="M255"/>
      <c r="N255"/>
      <c r="O255"/>
      <c r="P255"/>
    </row>
    <row r="256" spans="1:16" s="1" customFormat="1" ht="12.75" customHeight="1" x14ac:dyDescent="0.25">
      <c r="A256" s="27"/>
      <c r="B256" s="27"/>
      <c r="C256" s="31"/>
      <c r="D256" s="35" t="s">
        <v>508</v>
      </c>
      <c r="E256" s="64">
        <v>3</v>
      </c>
      <c r="F256" s="45">
        <v>80</v>
      </c>
      <c r="G256" s="35">
        <v>43</v>
      </c>
      <c r="H256" s="40">
        <v>19.5</v>
      </c>
      <c r="I256" s="38" t="s">
        <v>5798</v>
      </c>
      <c r="J256" s="34">
        <f>IFERROR(_xlfn.XLOOKUP(I256,Index!$A:$A,Index!$B:$B),"")</f>
        <v>5296</v>
      </c>
      <c r="K256"/>
      <c r="L256"/>
      <c r="M256"/>
      <c r="N256"/>
      <c r="O256"/>
      <c r="P256"/>
    </row>
    <row r="257" spans="1:16" s="1" customFormat="1" ht="12.75" customHeight="1" x14ac:dyDescent="0.25">
      <c r="A257" s="12"/>
      <c r="B257" s="12"/>
      <c r="C257" s="4"/>
      <c r="D257" s="4"/>
      <c r="E257" s="5"/>
      <c r="F257" s="13"/>
      <c r="G257" s="4"/>
      <c r="H257" s="19"/>
      <c r="I257" s="19"/>
      <c r="J257" s="20"/>
      <c r="K257"/>
      <c r="L257"/>
      <c r="M257"/>
      <c r="N257"/>
      <c r="O257"/>
      <c r="P257"/>
    </row>
    <row r="258" spans="1:16" s="1" customFormat="1" ht="15.75" x14ac:dyDescent="0.25">
      <c r="A258" s="217" t="s">
        <v>5799</v>
      </c>
      <c r="B258" s="231"/>
      <c r="C258" s="18"/>
      <c r="D258" s="49"/>
      <c r="E258" s="50"/>
      <c r="F258" s="51"/>
      <c r="G258" s="52"/>
      <c r="H258" s="53"/>
      <c r="I258" s="53"/>
      <c r="J258" s="54"/>
      <c r="K258"/>
      <c r="L258"/>
      <c r="M258"/>
      <c r="N258"/>
      <c r="O258"/>
      <c r="P258"/>
    </row>
    <row r="259" spans="1:16" s="1" customFormat="1" ht="15.75" x14ac:dyDescent="0.25">
      <c r="A259" s="48" t="s">
        <v>102</v>
      </c>
      <c r="B259" s="57"/>
      <c r="C259" s="58"/>
      <c r="D259" s="58"/>
      <c r="E259" s="59"/>
      <c r="F259" s="51"/>
      <c r="G259" s="58"/>
      <c r="H259" s="53"/>
      <c r="I259" s="53"/>
      <c r="J259" s="54"/>
      <c r="K259"/>
      <c r="L259"/>
      <c r="M259"/>
      <c r="N259"/>
      <c r="O259"/>
      <c r="P259"/>
    </row>
    <row r="260" spans="1:16" s="1" customFormat="1" ht="12.75" customHeight="1" x14ac:dyDescent="0.25">
      <c r="A260" s="25" t="s">
        <v>35</v>
      </c>
      <c r="B260" s="28" t="s">
        <v>103</v>
      </c>
      <c r="C260" s="335" t="s">
        <v>38</v>
      </c>
      <c r="D260" s="336"/>
      <c r="E260" s="42" t="s">
        <v>40</v>
      </c>
      <c r="F260" s="43" t="s">
        <v>3038</v>
      </c>
      <c r="G260"/>
      <c r="H260"/>
      <c r="I260"/>
      <c r="J260"/>
      <c r="K260"/>
      <c r="L260"/>
    </row>
    <row r="261" spans="1:16" s="79" customFormat="1" x14ac:dyDescent="0.25">
      <c r="A261" s="32"/>
      <c r="B261" s="32"/>
      <c r="C261" s="33" t="s">
        <v>44</v>
      </c>
      <c r="D261" s="33" t="s">
        <v>45</v>
      </c>
      <c r="E261" s="33"/>
      <c r="F261" s="44"/>
      <c r="G261"/>
      <c r="H261"/>
      <c r="I261"/>
      <c r="J261"/>
      <c r="K261"/>
      <c r="L261"/>
    </row>
    <row r="262" spans="1:16" s="1" customFormat="1" x14ac:dyDescent="0.25">
      <c r="A262" s="60" t="s">
        <v>5800</v>
      </c>
      <c r="B262" s="60" t="s">
        <v>104</v>
      </c>
      <c r="C262" s="70">
        <v>0.25</v>
      </c>
      <c r="D262" s="38">
        <v>8</v>
      </c>
      <c r="E262" s="35" t="s">
        <v>772</v>
      </c>
      <c r="F262" s="34">
        <f>IFERROR(_xlfn.XLOOKUP(E262,Index!$A:$A,Index!$B:$B),"")</f>
        <v>17.5</v>
      </c>
      <c r="G262"/>
      <c r="H262"/>
      <c r="I262"/>
      <c r="J262"/>
      <c r="K262"/>
      <c r="L262"/>
    </row>
    <row r="263" spans="1:16" s="1" customFormat="1" ht="12.75" customHeight="1" x14ac:dyDescent="0.25">
      <c r="A263" s="26"/>
      <c r="B263" s="26"/>
      <c r="C263" s="64">
        <v>0.375</v>
      </c>
      <c r="D263" s="45">
        <v>10</v>
      </c>
      <c r="E263" s="35" t="s">
        <v>772</v>
      </c>
      <c r="F263" s="34">
        <f>IFERROR(_xlfn.XLOOKUP(E263,Index!$A:$A,Index!$B:$B),"")</f>
        <v>17.5</v>
      </c>
      <c r="G263"/>
      <c r="H263"/>
      <c r="I263"/>
      <c r="J263"/>
      <c r="K263"/>
      <c r="L263"/>
    </row>
    <row r="264" spans="1:16" s="1" customFormat="1" ht="12.75" customHeight="1" x14ac:dyDescent="0.25">
      <c r="A264" s="26"/>
      <c r="B264" s="26"/>
      <c r="C264" s="64">
        <v>0.5</v>
      </c>
      <c r="D264" s="45">
        <v>15</v>
      </c>
      <c r="E264" s="35" t="s">
        <v>772</v>
      </c>
      <c r="F264" s="34">
        <f>IFERROR(_xlfn.XLOOKUP(E264,Index!$A:$A,Index!$B:$B),"")</f>
        <v>17.5</v>
      </c>
      <c r="G264"/>
      <c r="H264"/>
      <c r="I264"/>
      <c r="J264"/>
      <c r="K264"/>
      <c r="L264"/>
    </row>
    <row r="265" spans="1:16" s="1" customFormat="1" ht="12.75" customHeight="1" x14ac:dyDescent="0.25">
      <c r="A265" s="26"/>
      <c r="B265" s="26"/>
      <c r="C265" s="64">
        <v>0.75</v>
      </c>
      <c r="D265" s="45">
        <v>20</v>
      </c>
      <c r="E265" s="35" t="s">
        <v>773</v>
      </c>
      <c r="F265" s="34">
        <f>IFERROR(_xlfn.XLOOKUP(E265,Index!$A:$A,Index!$B:$B),"")</f>
        <v>19.5</v>
      </c>
      <c r="G265"/>
      <c r="H265"/>
      <c r="I265"/>
      <c r="J265"/>
      <c r="K265"/>
      <c r="L265"/>
    </row>
    <row r="266" spans="1:16" s="55" customFormat="1" x14ac:dyDescent="0.25">
      <c r="A266" s="26"/>
      <c r="B266" s="26"/>
      <c r="C266" s="64">
        <v>1</v>
      </c>
      <c r="D266" s="45">
        <v>25</v>
      </c>
      <c r="E266" s="35" t="s">
        <v>690</v>
      </c>
      <c r="F266" s="34">
        <f>IFERROR(_xlfn.XLOOKUP(E266,Index!$A:$A,Index!$B:$B),"")</f>
        <v>7</v>
      </c>
      <c r="G266"/>
      <c r="H266"/>
      <c r="I266"/>
      <c r="J266"/>
      <c r="K266"/>
      <c r="L266"/>
    </row>
    <row r="267" spans="1:16" s="55" customFormat="1" x14ac:dyDescent="0.25">
      <c r="A267" s="26"/>
      <c r="B267" s="26"/>
      <c r="C267" s="64">
        <v>1.25</v>
      </c>
      <c r="D267" s="45">
        <v>32</v>
      </c>
      <c r="E267" s="268" t="s">
        <v>774</v>
      </c>
      <c r="F267" s="34">
        <f>IFERROR(_xlfn.XLOOKUP(E267,Index!$A:$A,Index!$B:$B),"")</f>
        <v>29.75</v>
      </c>
      <c r="G267"/>
      <c r="H267"/>
      <c r="I267"/>
      <c r="J267"/>
      <c r="K267"/>
      <c r="L267"/>
    </row>
    <row r="268" spans="1:16" s="1" customFormat="1" ht="12.75" customHeight="1" x14ac:dyDescent="0.25">
      <c r="A268" s="26"/>
      <c r="B268" s="26"/>
      <c r="C268" s="64">
        <v>1.5</v>
      </c>
      <c r="D268" s="45">
        <v>40</v>
      </c>
      <c r="E268" s="35" t="s">
        <v>775</v>
      </c>
      <c r="F268" s="34">
        <f>IFERROR(_xlfn.XLOOKUP(E268,Index!$A:$A,Index!$B:$B),"")</f>
        <v>23.5</v>
      </c>
      <c r="G268"/>
      <c r="H268"/>
      <c r="I268"/>
      <c r="J268"/>
      <c r="K268"/>
      <c r="L268"/>
    </row>
    <row r="269" spans="1:16" s="1" customFormat="1" ht="12.75" customHeight="1" x14ac:dyDescent="0.25">
      <c r="A269" s="26"/>
      <c r="B269" s="26"/>
      <c r="C269" s="64">
        <v>2</v>
      </c>
      <c r="D269" s="45">
        <v>50</v>
      </c>
      <c r="E269" s="35" t="s">
        <v>776</v>
      </c>
      <c r="F269" s="34">
        <f>IFERROR(_xlfn.XLOOKUP(E269,Index!$A:$A,Index!$B:$B),"")</f>
        <v>26.75</v>
      </c>
      <c r="G269"/>
      <c r="H269"/>
      <c r="I269"/>
      <c r="J269"/>
      <c r="K269"/>
      <c r="L269"/>
    </row>
    <row r="270" spans="1:16" s="1" customFormat="1" ht="12.75" customHeight="1" x14ac:dyDescent="0.25">
      <c r="A270" s="26"/>
      <c r="B270" s="60" t="s">
        <v>210</v>
      </c>
      <c r="C270" s="70">
        <v>0.25</v>
      </c>
      <c r="D270" s="38">
        <v>8</v>
      </c>
      <c r="E270" s="35" t="s">
        <v>777</v>
      </c>
      <c r="F270" s="34">
        <f>IFERROR(_xlfn.XLOOKUP(E270,Index!$A:$A,Index!$B:$B),"")</f>
        <v>57.5</v>
      </c>
      <c r="G270"/>
      <c r="H270"/>
      <c r="I270"/>
      <c r="J270"/>
      <c r="K270"/>
      <c r="L270"/>
    </row>
    <row r="271" spans="1:16" s="1" customFormat="1" ht="12.75" customHeight="1" x14ac:dyDescent="0.25">
      <c r="A271" s="26"/>
      <c r="B271" s="26"/>
      <c r="C271" s="64">
        <v>0.375</v>
      </c>
      <c r="D271" s="45">
        <v>10</v>
      </c>
      <c r="E271" s="35" t="s">
        <v>777</v>
      </c>
      <c r="F271" s="34">
        <f>IFERROR(_xlfn.XLOOKUP(E271,Index!$A:$A,Index!$B:$B),"")</f>
        <v>57.5</v>
      </c>
      <c r="G271"/>
      <c r="H271"/>
      <c r="I271"/>
      <c r="J271"/>
      <c r="K271"/>
      <c r="L271"/>
    </row>
    <row r="272" spans="1:16" s="1" customFormat="1" ht="12.75" customHeight="1" x14ac:dyDescent="0.25">
      <c r="A272" s="26"/>
      <c r="B272" s="26"/>
      <c r="C272" s="64">
        <v>0.5</v>
      </c>
      <c r="D272" s="45">
        <v>15</v>
      </c>
      <c r="E272" s="35" t="s">
        <v>778</v>
      </c>
      <c r="F272" s="34">
        <f>IFERROR(_xlfn.XLOOKUP(E272,Index!$A:$A,Index!$B:$B),"")</f>
        <v>63.5</v>
      </c>
      <c r="G272"/>
      <c r="H272"/>
      <c r="I272"/>
      <c r="J272"/>
      <c r="K272"/>
      <c r="L272"/>
    </row>
    <row r="273" spans="1:12" s="1" customFormat="1" ht="12.75" customHeight="1" x14ac:dyDescent="0.25">
      <c r="A273" s="26"/>
      <c r="B273" s="26"/>
      <c r="C273" s="64">
        <v>0.75</v>
      </c>
      <c r="D273" s="45">
        <v>20</v>
      </c>
      <c r="E273" s="35" t="s">
        <v>779</v>
      </c>
      <c r="F273" s="34">
        <f>IFERROR(_xlfn.XLOOKUP(E273,Index!$A:$A,Index!$B:$B),"")</f>
        <v>80.5</v>
      </c>
      <c r="G273"/>
      <c r="H273"/>
      <c r="I273"/>
      <c r="J273"/>
      <c r="K273"/>
      <c r="L273"/>
    </row>
    <row r="274" spans="1:12" s="1" customFormat="1" ht="12.75" customHeight="1" x14ac:dyDescent="0.25">
      <c r="A274" s="26"/>
      <c r="B274" s="26"/>
      <c r="C274" s="64">
        <v>1</v>
      </c>
      <c r="D274" s="45">
        <v>25</v>
      </c>
      <c r="E274" s="35" t="s">
        <v>780</v>
      </c>
      <c r="F274" s="34">
        <f>IFERROR(_xlfn.XLOOKUP(E274,Index!$A:$A,Index!$B:$B),"")</f>
        <v>80.5</v>
      </c>
      <c r="G274"/>
      <c r="H274"/>
      <c r="I274"/>
      <c r="J274"/>
      <c r="K274"/>
      <c r="L274"/>
    </row>
    <row r="275" spans="1:12" s="1" customFormat="1" ht="12.75" customHeight="1" x14ac:dyDescent="0.25">
      <c r="A275" s="26"/>
      <c r="B275" s="26"/>
      <c r="C275" s="64">
        <v>1.25</v>
      </c>
      <c r="D275" s="45">
        <v>32</v>
      </c>
      <c r="E275" s="35" t="s">
        <v>781</v>
      </c>
      <c r="F275" s="34">
        <f>IFERROR(_xlfn.XLOOKUP(E275,Index!$A:$A,Index!$B:$B),"")</f>
        <v>80.5</v>
      </c>
      <c r="G275"/>
      <c r="H275"/>
      <c r="I275"/>
      <c r="J275"/>
      <c r="K275"/>
      <c r="L275"/>
    </row>
    <row r="276" spans="1:12" s="1" customFormat="1" x14ac:dyDescent="0.25">
      <c r="A276" s="26"/>
      <c r="B276" s="26"/>
      <c r="C276" s="64">
        <v>1.5</v>
      </c>
      <c r="D276" s="45">
        <v>40</v>
      </c>
      <c r="E276" s="35" t="s">
        <v>782</v>
      </c>
      <c r="F276" s="34">
        <f>IFERROR(_xlfn.XLOOKUP(E276,Index!$A:$A,Index!$B:$B),"")</f>
        <v>88.5</v>
      </c>
      <c r="G276"/>
      <c r="H276"/>
      <c r="I276"/>
      <c r="J276"/>
      <c r="K276"/>
      <c r="L276"/>
    </row>
    <row r="277" spans="1:12" s="1" customFormat="1" ht="12.75" customHeight="1" x14ac:dyDescent="0.25">
      <c r="A277" s="26"/>
      <c r="B277" s="26"/>
      <c r="C277" s="185">
        <v>2</v>
      </c>
      <c r="D277" s="224">
        <v>50</v>
      </c>
      <c r="E277" s="89" t="s">
        <v>783</v>
      </c>
      <c r="F277" s="34">
        <f>IFERROR(_xlfn.XLOOKUP(E277,Index!$A:$A,Index!$B:$B),"")</f>
        <v>88.5</v>
      </c>
      <c r="G277"/>
      <c r="H277"/>
      <c r="I277"/>
      <c r="J277"/>
      <c r="K277"/>
      <c r="L277"/>
    </row>
    <row r="278" spans="1:12" s="1" customFormat="1" ht="12.75" customHeight="1" x14ac:dyDescent="0.25">
      <c r="A278" s="26"/>
      <c r="B278" s="60" t="s">
        <v>122</v>
      </c>
      <c r="C278" s="70">
        <v>0.25</v>
      </c>
      <c r="D278" s="38">
        <v>8</v>
      </c>
      <c r="E278" s="35" t="s">
        <v>784</v>
      </c>
      <c r="F278" s="34">
        <f>IFERROR(_xlfn.XLOOKUP(E278,Index!$A:$A,Index!$B:$B),"")</f>
        <v>57.5</v>
      </c>
      <c r="G278"/>
      <c r="H278"/>
      <c r="I278"/>
      <c r="J278"/>
      <c r="K278"/>
      <c r="L278"/>
    </row>
    <row r="279" spans="1:12" s="1" customFormat="1" ht="12.75" customHeight="1" x14ac:dyDescent="0.25">
      <c r="A279" s="26"/>
      <c r="B279" s="26"/>
      <c r="C279" s="64">
        <v>0.375</v>
      </c>
      <c r="D279" s="45">
        <v>10</v>
      </c>
      <c r="E279" s="268" t="s">
        <v>5542</v>
      </c>
      <c r="F279" s="250">
        <f>$F$271</f>
        <v>57.5</v>
      </c>
      <c r="G279"/>
      <c r="H279"/>
      <c r="I279"/>
      <c r="J279"/>
      <c r="K279"/>
      <c r="L279"/>
    </row>
    <row r="280" spans="1:12" s="55" customFormat="1" x14ac:dyDescent="0.25">
      <c r="A280" s="26"/>
      <c r="B280" s="26"/>
      <c r="C280" s="64">
        <v>0.5</v>
      </c>
      <c r="D280" s="45">
        <v>15</v>
      </c>
      <c r="E280" s="35" t="s">
        <v>785</v>
      </c>
      <c r="F280" s="34">
        <f>IFERROR(_xlfn.XLOOKUP(E280,Index!$A:$A,Index!$B:$B),"")</f>
        <v>63.5</v>
      </c>
      <c r="G280"/>
      <c r="H280"/>
      <c r="I280"/>
      <c r="J280"/>
      <c r="K280"/>
      <c r="L280"/>
    </row>
    <row r="281" spans="1:12" s="55" customFormat="1" x14ac:dyDescent="0.25">
      <c r="A281" s="26"/>
      <c r="B281" s="26"/>
      <c r="C281" s="64">
        <v>0.75</v>
      </c>
      <c r="D281" s="45">
        <v>20</v>
      </c>
      <c r="E281" s="35" t="s">
        <v>786</v>
      </c>
      <c r="F281" s="34">
        <f>IFERROR(_xlfn.XLOOKUP(E281,Index!$A:$A,Index!$B:$B),"")</f>
        <v>80.5</v>
      </c>
      <c r="G281"/>
      <c r="H281"/>
      <c r="I281"/>
      <c r="J281"/>
      <c r="K281"/>
      <c r="L281"/>
    </row>
    <row r="282" spans="1:12" s="1" customFormat="1" ht="12.75" customHeight="1" x14ac:dyDescent="0.25">
      <c r="A282" s="26"/>
      <c r="B282" s="26"/>
      <c r="C282" s="64">
        <v>1</v>
      </c>
      <c r="D282" s="45">
        <v>25</v>
      </c>
      <c r="E282" s="35" t="s">
        <v>787</v>
      </c>
      <c r="F282" s="34">
        <f>IFERROR(_xlfn.XLOOKUP(E282,Index!$A:$A,Index!$B:$B),"")</f>
        <v>80.5</v>
      </c>
      <c r="G282"/>
      <c r="H282"/>
      <c r="I282"/>
      <c r="J282"/>
      <c r="K282"/>
      <c r="L282"/>
    </row>
    <row r="283" spans="1:12" s="1" customFormat="1" ht="12.75" customHeight="1" x14ac:dyDescent="0.25">
      <c r="A283" s="26"/>
      <c r="B283" s="26"/>
      <c r="C283" s="64">
        <v>1.25</v>
      </c>
      <c r="D283" s="45">
        <v>32</v>
      </c>
      <c r="E283" s="35" t="s">
        <v>788</v>
      </c>
      <c r="F283" s="34">
        <f>IFERROR(_xlfn.XLOOKUP(E283,Index!$A:$A,Index!$B:$B),"")</f>
        <v>80.5</v>
      </c>
      <c r="G283"/>
      <c r="H283"/>
      <c r="I283"/>
      <c r="J283"/>
      <c r="K283"/>
      <c r="L283"/>
    </row>
    <row r="284" spans="1:12" s="1" customFormat="1" ht="12.75" customHeight="1" x14ac:dyDescent="0.25">
      <c r="A284" s="26"/>
      <c r="B284" s="26"/>
      <c r="C284" s="64">
        <v>1.5</v>
      </c>
      <c r="D284" s="45">
        <v>40</v>
      </c>
      <c r="E284" s="35" t="s">
        <v>789</v>
      </c>
      <c r="F284" s="34">
        <f>IFERROR(_xlfn.XLOOKUP(E284,Index!$A:$A,Index!$B:$B),"")</f>
        <v>88.5</v>
      </c>
      <c r="G284"/>
      <c r="H284"/>
      <c r="I284"/>
      <c r="J284"/>
      <c r="K284"/>
      <c r="L284"/>
    </row>
    <row r="285" spans="1:12" s="1" customFormat="1" ht="12.75" customHeight="1" x14ac:dyDescent="0.25">
      <c r="A285" s="26"/>
      <c r="B285" s="27"/>
      <c r="C285" s="64">
        <v>2</v>
      </c>
      <c r="D285" s="45">
        <v>50</v>
      </c>
      <c r="E285" s="35" t="s">
        <v>790</v>
      </c>
      <c r="F285" s="34">
        <f>IFERROR(_xlfn.XLOOKUP(E285,Index!$A:$A,Index!$B:$B),"")</f>
        <v>88.5</v>
      </c>
      <c r="G285"/>
      <c r="H285"/>
      <c r="I285"/>
      <c r="J285"/>
      <c r="K285"/>
      <c r="L285"/>
    </row>
    <row r="286" spans="1:12" s="1" customFormat="1" ht="12.75" customHeight="1" x14ac:dyDescent="0.25">
      <c r="A286" s="26"/>
      <c r="B286" s="60" t="s">
        <v>134</v>
      </c>
      <c r="C286" s="70">
        <v>0.25</v>
      </c>
      <c r="D286" s="38">
        <v>8</v>
      </c>
      <c r="E286" s="268" t="s">
        <v>5542</v>
      </c>
      <c r="F286" s="250">
        <f t="shared" ref="F286:F287" si="1">F270</f>
        <v>57.5</v>
      </c>
      <c r="G286"/>
      <c r="H286"/>
      <c r="I286"/>
      <c r="J286"/>
      <c r="K286"/>
      <c r="L286"/>
    </row>
    <row r="287" spans="1:12" s="1" customFormat="1" ht="12.75" customHeight="1" x14ac:dyDescent="0.25">
      <c r="A287" s="26"/>
      <c r="B287" s="26"/>
      <c r="C287" s="64">
        <v>0.375</v>
      </c>
      <c r="D287" s="45">
        <v>10</v>
      </c>
      <c r="E287" s="268" t="s">
        <v>5542</v>
      </c>
      <c r="F287" s="250">
        <f t="shared" si="1"/>
        <v>57.5</v>
      </c>
      <c r="G287"/>
      <c r="H287"/>
      <c r="I287"/>
      <c r="J287"/>
      <c r="K287"/>
      <c r="L287"/>
    </row>
    <row r="288" spans="1:12" s="1" customFormat="1" ht="12.75" customHeight="1" x14ac:dyDescent="0.25">
      <c r="A288" s="26"/>
      <c r="B288" s="26"/>
      <c r="C288" s="64">
        <v>0.5</v>
      </c>
      <c r="D288" s="45">
        <v>15</v>
      </c>
      <c r="E288" s="35" t="s">
        <v>791</v>
      </c>
      <c r="F288" s="34">
        <f>IFERROR(_xlfn.XLOOKUP(E288,Index!$A:$A,Index!$B:$B),"")</f>
        <v>63.5</v>
      </c>
      <c r="G288"/>
      <c r="H288"/>
      <c r="I288"/>
      <c r="J288"/>
      <c r="K288"/>
      <c r="L288"/>
    </row>
    <row r="289" spans="1:12" s="1" customFormat="1" ht="12.75" customHeight="1" x14ac:dyDescent="0.25">
      <c r="A289" s="26"/>
      <c r="B289" s="26"/>
      <c r="C289" s="64">
        <v>0.75</v>
      </c>
      <c r="D289" s="45">
        <v>20</v>
      </c>
      <c r="E289" s="35" t="s">
        <v>792</v>
      </c>
      <c r="F289" s="34">
        <f>IFERROR(_xlfn.XLOOKUP(E289,Index!$A:$A,Index!$B:$B),"")</f>
        <v>80.5</v>
      </c>
      <c r="G289"/>
      <c r="H289"/>
      <c r="I289"/>
      <c r="J289"/>
      <c r="K289"/>
      <c r="L289"/>
    </row>
    <row r="290" spans="1:12" s="1" customFormat="1" ht="12.75" customHeight="1" x14ac:dyDescent="0.25">
      <c r="A290" s="26"/>
      <c r="B290" s="26"/>
      <c r="C290" s="64">
        <v>1</v>
      </c>
      <c r="D290" s="45">
        <v>25</v>
      </c>
      <c r="E290" s="35" t="s">
        <v>793</v>
      </c>
      <c r="F290" s="34">
        <f>IFERROR(_xlfn.XLOOKUP(E290,Index!$A:$A,Index!$B:$B),"")</f>
        <v>80.5</v>
      </c>
      <c r="G290"/>
      <c r="H290"/>
      <c r="I290"/>
      <c r="J290"/>
      <c r="K290"/>
      <c r="L290"/>
    </row>
    <row r="291" spans="1:12" s="1" customFormat="1" ht="12.75" customHeight="1" x14ac:dyDescent="0.25">
      <c r="A291" s="26"/>
      <c r="B291" s="26"/>
      <c r="C291" s="64">
        <v>1.25</v>
      </c>
      <c r="D291" s="45">
        <v>32</v>
      </c>
      <c r="E291" s="268" t="s">
        <v>5542</v>
      </c>
      <c r="F291" s="250">
        <f>$F$283</f>
        <v>80.5</v>
      </c>
      <c r="G291"/>
      <c r="H291"/>
      <c r="I291"/>
      <c r="J291"/>
      <c r="K291"/>
      <c r="L291"/>
    </row>
    <row r="292" spans="1:12" s="1" customFormat="1" ht="12.75" customHeight="1" x14ac:dyDescent="0.25">
      <c r="A292" s="26"/>
      <c r="B292" s="26"/>
      <c r="C292" s="64">
        <v>1.5</v>
      </c>
      <c r="D292" s="45">
        <v>40</v>
      </c>
      <c r="E292" s="35" t="s">
        <v>794</v>
      </c>
      <c r="F292" s="34">
        <f>IFERROR(_xlfn.XLOOKUP(E292,Index!$A:$A,Index!$B:$B),"")</f>
        <v>88.5</v>
      </c>
      <c r="G292"/>
      <c r="H292"/>
      <c r="I292"/>
      <c r="J292"/>
      <c r="K292"/>
      <c r="L292"/>
    </row>
    <row r="293" spans="1:12" s="1" customFormat="1" ht="12.75" customHeight="1" x14ac:dyDescent="0.25">
      <c r="A293" s="26"/>
      <c r="B293" s="27"/>
      <c r="C293" s="64">
        <v>2</v>
      </c>
      <c r="D293" s="45">
        <v>50</v>
      </c>
      <c r="E293" s="35" t="s">
        <v>795</v>
      </c>
      <c r="F293" s="34">
        <f>IFERROR(_xlfn.XLOOKUP(E293,Index!$A:$A,Index!$B:$B),"")</f>
        <v>88.5</v>
      </c>
      <c r="G293"/>
      <c r="H293"/>
      <c r="I293"/>
      <c r="J293"/>
      <c r="K293"/>
      <c r="L293"/>
    </row>
    <row r="294" spans="1:12" s="1" customFormat="1" ht="12.75" customHeight="1" x14ac:dyDescent="0.25">
      <c r="A294" s="26"/>
      <c r="B294" s="60" t="s">
        <v>145</v>
      </c>
      <c r="C294" s="70">
        <v>0.25</v>
      </c>
      <c r="D294" s="38">
        <v>8</v>
      </c>
      <c r="E294" s="35" t="s">
        <v>796</v>
      </c>
      <c r="F294" s="34">
        <f>IFERROR(_xlfn.XLOOKUP(E294,Index!$A:$A,Index!$B:$B),"")</f>
        <v>57.5</v>
      </c>
      <c r="G294"/>
      <c r="H294"/>
      <c r="I294"/>
      <c r="J294"/>
      <c r="K294"/>
      <c r="L294"/>
    </row>
    <row r="295" spans="1:12" s="1" customFormat="1" ht="12.75" customHeight="1" x14ac:dyDescent="0.25">
      <c r="A295" s="26"/>
      <c r="B295" s="26"/>
      <c r="C295" s="64">
        <v>0.375</v>
      </c>
      <c r="D295" s="45">
        <v>10</v>
      </c>
      <c r="E295" s="35" t="s">
        <v>797</v>
      </c>
      <c r="F295" s="34">
        <f>IFERROR(_xlfn.XLOOKUP(E295,Index!$A:$A,Index!$B:$B),"")</f>
        <v>57.5</v>
      </c>
      <c r="G295"/>
      <c r="H295"/>
      <c r="I295"/>
      <c r="J295"/>
      <c r="K295"/>
      <c r="L295"/>
    </row>
    <row r="296" spans="1:12" s="1" customFormat="1" ht="12.75" customHeight="1" x14ac:dyDescent="0.25">
      <c r="A296" s="26"/>
      <c r="B296" s="26"/>
      <c r="C296" s="64">
        <v>0.5</v>
      </c>
      <c r="D296" s="45">
        <v>15</v>
      </c>
      <c r="E296" s="35" t="s">
        <v>798</v>
      </c>
      <c r="F296" s="34">
        <f>IFERROR(_xlfn.XLOOKUP(E296,Index!$A:$A,Index!$B:$B),"")</f>
        <v>63.5</v>
      </c>
      <c r="G296"/>
      <c r="H296"/>
      <c r="I296"/>
      <c r="J296"/>
      <c r="K296"/>
      <c r="L296"/>
    </row>
    <row r="297" spans="1:12" s="1" customFormat="1" ht="12.75" customHeight="1" x14ac:dyDescent="0.25">
      <c r="A297" s="26"/>
      <c r="B297" s="26"/>
      <c r="C297" s="64">
        <v>0.75</v>
      </c>
      <c r="D297" s="45">
        <v>20</v>
      </c>
      <c r="E297" s="35" t="s">
        <v>2851</v>
      </c>
      <c r="F297" s="34">
        <f>IFERROR(_xlfn.XLOOKUP(E297,Index!$A:$A,Index!$B:$B),"")</f>
        <v>80.5</v>
      </c>
      <c r="G297"/>
      <c r="H297"/>
      <c r="I297"/>
      <c r="J297"/>
      <c r="K297"/>
      <c r="L297"/>
    </row>
    <row r="298" spans="1:12" s="1" customFormat="1" ht="12.75" customHeight="1" x14ac:dyDescent="0.25">
      <c r="A298" s="26"/>
      <c r="B298" s="26"/>
      <c r="C298" s="64">
        <v>1</v>
      </c>
      <c r="D298" s="45">
        <v>25</v>
      </c>
      <c r="E298" s="35" t="s">
        <v>804</v>
      </c>
      <c r="F298" s="34">
        <f>IFERROR(_xlfn.XLOOKUP(E298,Index!$A:$A,Index!$B:$B),"")</f>
        <v>80.5</v>
      </c>
      <c r="G298"/>
      <c r="H298"/>
      <c r="I298"/>
      <c r="J298"/>
      <c r="K298"/>
      <c r="L298"/>
    </row>
    <row r="299" spans="1:12" s="1" customFormat="1" ht="12.75" customHeight="1" x14ac:dyDescent="0.25">
      <c r="A299" s="26"/>
      <c r="B299" s="26"/>
      <c r="C299" s="64">
        <v>1.25</v>
      </c>
      <c r="D299" s="45">
        <v>32</v>
      </c>
      <c r="E299" s="35" t="s">
        <v>2850</v>
      </c>
      <c r="F299" s="34">
        <f>IFERROR(_xlfn.XLOOKUP(E299,Index!$A:$A,Index!$B:$B),"")</f>
        <v>80.5</v>
      </c>
      <c r="G299"/>
      <c r="H299"/>
      <c r="I299"/>
      <c r="J299"/>
      <c r="K299"/>
      <c r="L299"/>
    </row>
    <row r="300" spans="1:12" s="1" customFormat="1" ht="12.75" customHeight="1" x14ac:dyDescent="0.25">
      <c r="A300" s="26"/>
      <c r="B300" s="26"/>
      <c r="C300" s="64">
        <v>1.5</v>
      </c>
      <c r="D300" s="45">
        <v>40</v>
      </c>
      <c r="E300" s="35" t="s">
        <v>799</v>
      </c>
      <c r="F300" s="34">
        <f>IFERROR(_xlfn.XLOOKUP(E300,Index!$A:$A,Index!$B:$B),"")</f>
        <v>88.5</v>
      </c>
      <c r="G300"/>
      <c r="H300"/>
      <c r="I300"/>
      <c r="J300"/>
      <c r="K300"/>
      <c r="L300"/>
    </row>
    <row r="301" spans="1:12" s="1" customFormat="1" ht="12.75" customHeight="1" x14ac:dyDescent="0.25">
      <c r="A301" s="26"/>
      <c r="B301" s="27"/>
      <c r="C301" s="64">
        <v>2</v>
      </c>
      <c r="D301" s="45">
        <v>50</v>
      </c>
      <c r="E301" s="35" t="s">
        <v>800</v>
      </c>
      <c r="F301" s="34">
        <f>IFERROR(_xlfn.XLOOKUP(E301,Index!$A:$A,Index!$B:$B),"")</f>
        <v>88.5</v>
      </c>
      <c r="G301"/>
      <c r="H301"/>
      <c r="I301"/>
      <c r="J301"/>
      <c r="K301"/>
      <c r="L301"/>
    </row>
    <row r="302" spans="1:12" s="1" customFormat="1" ht="12.75" customHeight="1" x14ac:dyDescent="0.25">
      <c r="A302" s="26"/>
      <c r="B302" s="60" t="s">
        <v>155</v>
      </c>
      <c r="C302" s="70">
        <v>0.25</v>
      </c>
      <c r="D302" s="38">
        <v>8</v>
      </c>
      <c r="E302" s="35" t="s">
        <v>801</v>
      </c>
      <c r="F302" s="34">
        <f>IFERROR(_xlfn.XLOOKUP(E302,Index!$A:$A,Index!$B:$B),"")</f>
        <v>57.5</v>
      </c>
      <c r="G302"/>
      <c r="H302"/>
      <c r="I302"/>
      <c r="J302"/>
      <c r="K302"/>
      <c r="L302"/>
    </row>
    <row r="303" spans="1:12" s="1" customFormat="1" ht="12.75" customHeight="1" x14ac:dyDescent="0.25">
      <c r="A303" s="26"/>
      <c r="B303" s="26"/>
      <c r="C303" s="64">
        <v>0.375</v>
      </c>
      <c r="D303" s="45">
        <v>10</v>
      </c>
      <c r="E303" s="35" t="s">
        <v>801</v>
      </c>
      <c r="F303" s="34">
        <f>IFERROR(_xlfn.XLOOKUP(E303,Index!$A:$A,Index!$B:$B),"")</f>
        <v>57.5</v>
      </c>
      <c r="G303"/>
      <c r="H303"/>
      <c r="I303"/>
      <c r="J303"/>
      <c r="K303"/>
      <c r="L303"/>
    </row>
    <row r="304" spans="1:12" s="1" customFormat="1" ht="12.75" customHeight="1" x14ac:dyDescent="0.25">
      <c r="A304" s="26"/>
      <c r="B304" s="26"/>
      <c r="C304" s="64">
        <v>0.5</v>
      </c>
      <c r="D304" s="45">
        <v>15</v>
      </c>
      <c r="E304" s="35" t="s">
        <v>802</v>
      </c>
      <c r="F304" s="34">
        <f>IFERROR(_xlfn.XLOOKUP(E304,Index!$A:$A,Index!$B:$B),"")</f>
        <v>63.5</v>
      </c>
      <c r="G304"/>
      <c r="H304"/>
      <c r="I304"/>
      <c r="J304"/>
      <c r="K304"/>
      <c r="L304"/>
    </row>
    <row r="305" spans="1:16" s="1" customFormat="1" ht="12.75" customHeight="1" x14ac:dyDescent="0.25">
      <c r="A305" s="26"/>
      <c r="B305" s="26"/>
      <c r="C305" s="64">
        <v>0.75</v>
      </c>
      <c r="D305" s="45">
        <v>20</v>
      </c>
      <c r="E305" s="35" t="s">
        <v>803</v>
      </c>
      <c r="F305" s="34">
        <f>IFERROR(_xlfn.XLOOKUP(E305,Index!$A:$A,Index!$B:$B),"")</f>
        <v>80.5</v>
      </c>
      <c r="G305"/>
      <c r="H305"/>
      <c r="I305"/>
      <c r="J305"/>
      <c r="K305"/>
      <c r="L305"/>
    </row>
    <row r="306" spans="1:16" s="1" customFormat="1" ht="12.75" customHeight="1" x14ac:dyDescent="0.25">
      <c r="A306" s="26"/>
      <c r="B306" s="26"/>
      <c r="C306" s="64">
        <v>1</v>
      </c>
      <c r="D306" s="45">
        <v>25</v>
      </c>
      <c r="E306" s="35" t="s">
        <v>804</v>
      </c>
      <c r="F306" s="34">
        <f>IFERROR(_xlfn.XLOOKUP(E306,Index!$A:$A,Index!$B:$B),"")</f>
        <v>80.5</v>
      </c>
      <c r="G306"/>
      <c r="H306"/>
      <c r="I306"/>
      <c r="J306"/>
      <c r="K306"/>
      <c r="L306"/>
    </row>
    <row r="307" spans="1:16" s="1" customFormat="1" ht="12.75" customHeight="1" x14ac:dyDescent="0.25">
      <c r="A307" s="26"/>
      <c r="B307" s="26"/>
      <c r="C307" s="64">
        <v>1.25</v>
      </c>
      <c r="D307" s="45">
        <v>32</v>
      </c>
      <c r="E307" s="268" t="s">
        <v>5542</v>
      </c>
      <c r="F307" s="250">
        <f>$F$299</f>
        <v>80.5</v>
      </c>
      <c r="G307"/>
      <c r="H307"/>
      <c r="I307"/>
      <c r="J307"/>
      <c r="K307"/>
      <c r="L307"/>
    </row>
    <row r="308" spans="1:16" s="1" customFormat="1" ht="12.75" customHeight="1" x14ac:dyDescent="0.25">
      <c r="A308" s="26"/>
      <c r="B308" s="26"/>
      <c r="C308" s="64">
        <v>1.5</v>
      </c>
      <c r="D308" s="45">
        <v>40</v>
      </c>
      <c r="E308" s="35" t="s">
        <v>805</v>
      </c>
      <c r="F308" s="34">
        <f>IFERROR(_xlfn.XLOOKUP(E308,Index!$A:$A,Index!$B:$B),"")</f>
        <v>92</v>
      </c>
      <c r="G308"/>
      <c r="H308"/>
      <c r="I308"/>
      <c r="J308"/>
      <c r="K308"/>
      <c r="L308"/>
    </row>
    <row r="309" spans="1:16" s="1" customFormat="1" ht="12.75" customHeight="1" x14ac:dyDescent="0.25">
      <c r="A309" s="26"/>
      <c r="B309" s="27"/>
      <c r="C309" s="64">
        <v>2</v>
      </c>
      <c r="D309" s="45">
        <v>50</v>
      </c>
      <c r="E309" s="35" t="s">
        <v>806</v>
      </c>
      <c r="F309" s="34">
        <f>IFERROR(_xlfn.XLOOKUP(E309,Index!$A:$A,Index!$B:$B),"")</f>
        <v>92</v>
      </c>
      <c r="G309"/>
      <c r="H309"/>
      <c r="I309"/>
      <c r="J309"/>
      <c r="K309"/>
      <c r="L309"/>
    </row>
    <row r="310" spans="1:16" s="1" customFormat="1" ht="12.75" customHeight="1" x14ac:dyDescent="0.25">
      <c r="A310" s="26"/>
      <c r="B310" s="60" t="s">
        <v>719</v>
      </c>
      <c r="C310" s="70">
        <v>0.25</v>
      </c>
      <c r="D310" s="38">
        <v>8</v>
      </c>
      <c r="E310" s="35" t="s">
        <v>168</v>
      </c>
      <c r="F310" s="34">
        <f>IFERROR(_xlfn.XLOOKUP(E310,Index!$A:$A,Index!$B:$B),"")</f>
        <v>2.75</v>
      </c>
      <c r="G310"/>
      <c r="H310"/>
      <c r="I310"/>
      <c r="J310"/>
      <c r="K310"/>
      <c r="L310"/>
    </row>
    <row r="311" spans="1:16" s="1" customFormat="1" ht="12.75" customHeight="1" x14ac:dyDescent="0.25">
      <c r="A311" s="26"/>
      <c r="B311" s="26"/>
      <c r="C311" s="64">
        <v>0.375</v>
      </c>
      <c r="D311" s="45">
        <v>10</v>
      </c>
      <c r="E311" s="35" t="s">
        <v>168</v>
      </c>
      <c r="F311" s="34">
        <f>IFERROR(_xlfn.XLOOKUP(E311,Index!$A:$A,Index!$B:$B),"")</f>
        <v>2.75</v>
      </c>
      <c r="G311"/>
      <c r="H311"/>
      <c r="I311"/>
      <c r="J311"/>
      <c r="K311"/>
      <c r="L311"/>
    </row>
    <row r="312" spans="1:16" s="1" customFormat="1" ht="12.75" customHeight="1" x14ac:dyDescent="0.25">
      <c r="A312" s="26"/>
      <c r="B312" s="26"/>
      <c r="C312" s="64">
        <v>0.5</v>
      </c>
      <c r="D312" s="45">
        <v>15</v>
      </c>
      <c r="E312" s="35" t="s">
        <v>168</v>
      </c>
      <c r="F312" s="34">
        <f>IFERROR(_xlfn.XLOOKUP(E312,Index!$A:$A,Index!$B:$B),"")</f>
        <v>2.75</v>
      </c>
      <c r="G312"/>
      <c r="H312"/>
      <c r="I312"/>
      <c r="J312"/>
      <c r="K312"/>
      <c r="L312"/>
    </row>
    <row r="313" spans="1:16" s="1" customFormat="1" ht="12.75" customHeight="1" x14ac:dyDescent="0.25">
      <c r="A313" s="26"/>
      <c r="B313" s="26"/>
      <c r="C313" s="64">
        <v>0.75</v>
      </c>
      <c r="D313" s="45">
        <v>20</v>
      </c>
      <c r="E313" s="35" t="s">
        <v>169</v>
      </c>
      <c r="F313" s="34">
        <f>IFERROR(_xlfn.XLOOKUP(E313,Index!$A:$A,Index!$B:$B),"")</f>
        <v>6</v>
      </c>
      <c r="G313"/>
      <c r="H313"/>
      <c r="I313"/>
      <c r="J313"/>
      <c r="K313"/>
      <c r="L313"/>
    </row>
    <row r="314" spans="1:16" s="1" customFormat="1" ht="12.75" customHeight="1" x14ac:dyDescent="0.25">
      <c r="A314" s="26"/>
      <c r="B314" s="26"/>
      <c r="C314" s="64">
        <v>1</v>
      </c>
      <c r="D314" s="45">
        <v>25</v>
      </c>
      <c r="E314" s="35" t="s">
        <v>364</v>
      </c>
      <c r="F314" s="34">
        <f>IFERROR(_xlfn.XLOOKUP(E314,Index!$A:$A,Index!$B:$B),"")</f>
        <v>7</v>
      </c>
      <c r="G314"/>
      <c r="H314"/>
      <c r="I314"/>
      <c r="J314"/>
      <c r="K314"/>
      <c r="L314"/>
    </row>
    <row r="315" spans="1:16" s="1" customFormat="1" ht="12.75" customHeight="1" x14ac:dyDescent="0.25">
      <c r="A315" s="26"/>
      <c r="B315" s="26"/>
      <c r="C315" s="64">
        <v>1.25</v>
      </c>
      <c r="D315" s="45">
        <v>32</v>
      </c>
      <c r="E315" s="35" t="s">
        <v>170</v>
      </c>
      <c r="F315" s="34">
        <f>IFERROR(_xlfn.XLOOKUP(E315,Index!$A:$A,Index!$B:$B),"")</f>
        <v>7.75</v>
      </c>
      <c r="G315"/>
      <c r="H315"/>
      <c r="I315"/>
      <c r="J315"/>
      <c r="K315"/>
      <c r="L315"/>
    </row>
    <row r="316" spans="1:16" s="1" customFormat="1" ht="12.75" customHeight="1" x14ac:dyDescent="0.25">
      <c r="A316" s="26"/>
      <c r="B316" s="26"/>
      <c r="C316" s="64">
        <v>1.5</v>
      </c>
      <c r="D316" s="45">
        <v>40</v>
      </c>
      <c r="E316" s="35" t="s">
        <v>170</v>
      </c>
      <c r="F316" s="34">
        <f>IFERROR(_xlfn.XLOOKUP(E316,Index!$A:$A,Index!$B:$B),"")</f>
        <v>7.75</v>
      </c>
      <c r="G316"/>
      <c r="H316"/>
      <c r="I316"/>
      <c r="J316"/>
      <c r="K316"/>
      <c r="L316"/>
    </row>
    <row r="317" spans="1:16" s="1" customFormat="1" ht="12.75" customHeight="1" x14ac:dyDescent="0.25">
      <c r="A317" s="27"/>
      <c r="B317" s="27"/>
      <c r="C317" s="64">
        <v>2</v>
      </c>
      <c r="D317" s="45">
        <v>50</v>
      </c>
      <c r="E317" s="35" t="s">
        <v>365</v>
      </c>
      <c r="F317" s="34">
        <f>IFERROR(_xlfn.XLOOKUP(E317,Index!$A:$A,Index!$B:$B),"")</f>
        <v>9.75</v>
      </c>
      <c r="G317"/>
      <c r="H317"/>
      <c r="I317"/>
      <c r="J317"/>
      <c r="K317"/>
      <c r="L317"/>
    </row>
    <row r="318" spans="1:16" s="1" customFormat="1" ht="12.7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1" customFormat="1" ht="15.75" x14ac:dyDescent="0.25">
      <c r="A319" s="62" t="s">
        <v>15</v>
      </c>
      <c r="B319" s="62" t="s">
        <v>807</v>
      </c>
      <c r="C319" s="14"/>
      <c r="D319" s="3"/>
      <c r="E319" s="8"/>
      <c r="F319" s="9"/>
      <c r="G319" s="10"/>
      <c r="H319" s="19"/>
      <c r="I319" s="19"/>
      <c r="J319" s="20"/>
      <c r="K319"/>
      <c r="L319"/>
      <c r="M319"/>
      <c r="N319"/>
      <c r="O319"/>
      <c r="P319"/>
    </row>
    <row r="320" spans="1:16" s="1" customFormat="1" ht="15.75" x14ac:dyDescent="0.25">
      <c r="A320" s="48" t="s">
        <v>808</v>
      </c>
      <c r="B320" s="11"/>
      <c r="C320" s="4"/>
      <c r="D320" s="4"/>
      <c r="E320" s="5"/>
      <c r="F320" s="9"/>
      <c r="G320" s="4"/>
      <c r="H320" s="19"/>
      <c r="I320" s="19"/>
      <c r="J320" s="20"/>
      <c r="K320"/>
      <c r="L320"/>
      <c r="M320"/>
      <c r="N320"/>
      <c r="O320"/>
      <c r="P320"/>
    </row>
    <row r="321" spans="1:16" s="1" customFormat="1" ht="12.75" customHeight="1" x14ac:dyDescent="0.25">
      <c r="A321" s="25" t="s">
        <v>35</v>
      </c>
      <c r="B321" s="28" t="s">
        <v>36</v>
      </c>
      <c r="C321" s="333" t="s">
        <v>37</v>
      </c>
      <c r="D321" s="334"/>
      <c r="E321" s="335" t="s">
        <v>38</v>
      </c>
      <c r="F321" s="336"/>
      <c r="G321" s="335" t="s">
        <v>39</v>
      </c>
      <c r="H321" s="336"/>
      <c r="I321" s="42" t="s">
        <v>40</v>
      </c>
      <c r="J321" s="43" t="s">
        <v>41</v>
      </c>
      <c r="K321"/>
      <c r="L321"/>
      <c r="M321"/>
      <c r="N321"/>
      <c r="O321"/>
      <c r="P321"/>
    </row>
    <row r="322" spans="1:16" s="1" customFormat="1" ht="12.75" customHeight="1" x14ac:dyDescent="0.25">
      <c r="A322" s="32"/>
      <c r="B322" s="32"/>
      <c r="C322" s="33" t="s">
        <v>42</v>
      </c>
      <c r="D322" s="33" t="s">
        <v>43</v>
      </c>
      <c r="E322" s="33" t="s">
        <v>44</v>
      </c>
      <c r="F322" s="33" t="s">
        <v>45</v>
      </c>
      <c r="G322" s="33" t="s">
        <v>46</v>
      </c>
      <c r="H322" s="33" t="s">
        <v>47</v>
      </c>
      <c r="I322" s="33"/>
      <c r="J322" s="44"/>
      <c r="K322"/>
      <c r="L322"/>
      <c r="M322"/>
      <c r="N322"/>
      <c r="O322"/>
      <c r="P322"/>
    </row>
    <row r="323" spans="1:16" s="1" customFormat="1" ht="12.75" customHeight="1" x14ac:dyDescent="0.25">
      <c r="A323" s="26" t="s">
        <v>809</v>
      </c>
      <c r="B323" s="26" t="s">
        <v>49</v>
      </c>
      <c r="C323" s="30" t="s">
        <v>50</v>
      </c>
      <c r="D323" s="35" t="s">
        <v>508</v>
      </c>
      <c r="E323" s="64">
        <v>0.5</v>
      </c>
      <c r="F323" s="45">
        <v>15</v>
      </c>
      <c r="G323" s="35">
        <v>7</v>
      </c>
      <c r="H323" s="40">
        <v>3.2</v>
      </c>
      <c r="I323" s="38" t="s">
        <v>810</v>
      </c>
      <c r="J323" s="34">
        <f>IFERROR(_xlfn.XLOOKUP(I323,Index!$A:$A,Index!$B:$B),"")</f>
        <v>907</v>
      </c>
      <c r="K323"/>
      <c r="L323"/>
      <c r="M323"/>
      <c r="N323"/>
      <c r="O323"/>
      <c r="P323"/>
    </row>
    <row r="324" spans="1:16" s="1" customFormat="1" x14ac:dyDescent="0.25">
      <c r="A324" s="26"/>
      <c r="B324" s="26"/>
      <c r="C324" s="30"/>
      <c r="D324" s="35" t="s">
        <v>508</v>
      </c>
      <c r="E324" s="64">
        <v>0.75</v>
      </c>
      <c r="F324" s="45">
        <v>20</v>
      </c>
      <c r="G324" s="35">
        <v>10</v>
      </c>
      <c r="H324" s="40">
        <v>4.5</v>
      </c>
      <c r="I324" s="38" t="s">
        <v>811</v>
      </c>
      <c r="J324" s="34">
        <f>IFERROR(_xlfn.XLOOKUP(I324,Index!$A:$A,Index!$B:$B),"")</f>
        <v>1118</v>
      </c>
      <c r="K324"/>
      <c r="L324"/>
      <c r="M324"/>
      <c r="N324"/>
      <c r="O324"/>
      <c r="P324"/>
    </row>
    <row r="325" spans="1:16" s="1" customFormat="1" x14ac:dyDescent="0.25">
      <c r="A325" s="26"/>
      <c r="B325" s="26"/>
      <c r="C325" s="30"/>
      <c r="D325" s="35" t="s">
        <v>508</v>
      </c>
      <c r="E325" s="64">
        <v>1</v>
      </c>
      <c r="F325" s="45">
        <v>25</v>
      </c>
      <c r="G325" s="35">
        <v>16</v>
      </c>
      <c r="H325" s="40">
        <v>7.3</v>
      </c>
      <c r="I325" s="38" t="s">
        <v>812</v>
      </c>
      <c r="J325" s="34">
        <f>IFERROR(_xlfn.XLOOKUP(I325,Index!$A:$A,Index!$B:$B),"")</f>
        <v>1448</v>
      </c>
      <c r="K325"/>
      <c r="L325"/>
      <c r="M325"/>
      <c r="N325"/>
      <c r="O325"/>
      <c r="P325"/>
    </row>
    <row r="326" spans="1:16" s="1" customFormat="1" ht="12.75" customHeight="1" x14ac:dyDescent="0.25">
      <c r="A326" s="26"/>
      <c r="B326" s="26"/>
      <c r="C326" s="30"/>
      <c r="D326" s="35" t="s">
        <v>508</v>
      </c>
      <c r="E326" s="64">
        <v>1.25</v>
      </c>
      <c r="F326" s="45">
        <v>32</v>
      </c>
      <c r="G326" s="35">
        <v>22</v>
      </c>
      <c r="H326" s="40">
        <v>10</v>
      </c>
      <c r="I326" s="38" t="s">
        <v>813</v>
      </c>
      <c r="J326" s="34">
        <f>IFERROR(_xlfn.XLOOKUP(I326,Index!$A:$A,Index!$B:$B),"")</f>
        <v>3246</v>
      </c>
      <c r="K326"/>
      <c r="L326"/>
      <c r="M326"/>
      <c r="N326"/>
      <c r="O326"/>
      <c r="P326"/>
    </row>
    <row r="327" spans="1:16" s="1" customFormat="1" ht="12.75" customHeight="1" x14ac:dyDescent="0.25">
      <c r="A327" s="26"/>
      <c r="B327" s="26"/>
      <c r="C327" s="30"/>
      <c r="D327" s="35" t="s">
        <v>508</v>
      </c>
      <c r="E327" s="64">
        <v>1.5</v>
      </c>
      <c r="F327" s="45">
        <v>40</v>
      </c>
      <c r="G327" s="35">
        <v>43</v>
      </c>
      <c r="H327" s="40">
        <v>19.5</v>
      </c>
      <c r="I327" s="38" t="s">
        <v>814</v>
      </c>
      <c r="J327" s="34">
        <f>IFERROR(_xlfn.XLOOKUP(I327,Index!$A:$A,Index!$B:$B),"")</f>
        <v>3383</v>
      </c>
      <c r="K327"/>
      <c r="L327"/>
      <c r="M327"/>
      <c r="N327"/>
      <c r="O327"/>
      <c r="P327"/>
    </row>
    <row r="328" spans="1:16" s="1" customFormat="1" ht="12.75" customHeight="1" x14ac:dyDescent="0.25">
      <c r="A328" s="27"/>
      <c r="B328" s="27"/>
      <c r="C328" s="31"/>
      <c r="D328" s="35" t="s">
        <v>508</v>
      </c>
      <c r="E328" s="64">
        <v>2</v>
      </c>
      <c r="F328" s="45">
        <v>50</v>
      </c>
      <c r="G328" s="35">
        <v>43</v>
      </c>
      <c r="H328" s="40">
        <v>19.5</v>
      </c>
      <c r="I328" s="38" t="s">
        <v>815</v>
      </c>
      <c r="J328" s="34">
        <f>IFERROR(_xlfn.XLOOKUP(I328,Index!$A:$A,Index!$B:$B),"")</f>
        <v>3948</v>
      </c>
      <c r="K328"/>
      <c r="L328"/>
      <c r="M328"/>
      <c r="N328"/>
      <c r="O328"/>
      <c r="P328"/>
    </row>
    <row r="329" spans="1:16" s="1" customFormat="1" ht="12.75" customHeight="1" x14ac:dyDescent="0.25">
      <c r="A329" s="12"/>
      <c r="B329" s="12"/>
      <c r="C329" s="4"/>
      <c r="D329" s="4"/>
      <c r="E329" s="5"/>
      <c r="F329" s="13"/>
      <c r="G329" s="4"/>
      <c r="H329" s="19"/>
      <c r="I329" s="19"/>
      <c r="J329" s="20"/>
      <c r="K329"/>
      <c r="L329"/>
      <c r="M329"/>
      <c r="N329"/>
      <c r="O329"/>
      <c r="P329"/>
    </row>
    <row r="330" spans="1:16" s="1" customFormat="1" ht="15.75" x14ac:dyDescent="0.25">
      <c r="A330" s="71" t="s">
        <v>16</v>
      </c>
      <c r="B330" s="71" t="s">
        <v>807</v>
      </c>
      <c r="C330" s="72"/>
      <c r="D330" s="73"/>
      <c r="E330" s="74"/>
      <c r="F330" s="75"/>
      <c r="G330" s="76"/>
      <c r="H330" s="77"/>
      <c r="I330" s="77"/>
      <c r="J330" s="78"/>
      <c r="K330"/>
      <c r="L330"/>
      <c r="M330"/>
      <c r="N330"/>
      <c r="O330"/>
      <c r="P330"/>
    </row>
    <row r="331" spans="1:16" s="1" customFormat="1" ht="15.75" x14ac:dyDescent="0.25">
      <c r="A331" s="48" t="s">
        <v>761</v>
      </c>
      <c r="B331" s="11"/>
      <c r="C331" s="4"/>
      <c r="D331" s="4"/>
      <c r="E331" s="5"/>
      <c r="F331" s="9"/>
      <c r="G331" s="4"/>
      <c r="H331" s="19"/>
      <c r="I331" s="19"/>
      <c r="J331" s="20"/>
      <c r="K331"/>
      <c r="L331"/>
      <c r="M331"/>
      <c r="N331"/>
      <c r="O331"/>
      <c r="P331"/>
    </row>
    <row r="332" spans="1:16" s="1" customFormat="1" ht="12.75" customHeight="1" x14ac:dyDescent="0.25">
      <c r="A332" s="25" t="s">
        <v>35</v>
      </c>
      <c r="B332" s="28" t="s">
        <v>36</v>
      </c>
      <c r="C332" s="333" t="s">
        <v>37</v>
      </c>
      <c r="D332" s="334"/>
      <c r="E332" s="335" t="s">
        <v>38</v>
      </c>
      <c r="F332" s="336"/>
      <c r="G332" s="335" t="s">
        <v>39</v>
      </c>
      <c r="H332" s="336"/>
      <c r="I332" s="42" t="s">
        <v>40</v>
      </c>
      <c r="J332" s="43" t="s">
        <v>41</v>
      </c>
      <c r="K332"/>
      <c r="L332"/>
      <c r="M332"/>
      <c r="N332"/>
      <c r="O332"/>
      <c r="P332"/>
    </row>
    <row r="333" spans="1:16" s="1" customFormat="1" ht="12.75" customHeight="1" x14ac:dyDescent="0.25">
      <c r="A333" s="32"/>
      <c r="B333" s="32"/>
      <c r="C333" s="33" t="s">
        <v>42</v>
      </c>
      <c r="D333" s="33" t="s">
        <v>43</v>
      </c>
      <c r="E333" s="33" t="s">
        <v>44</v>
      </c>
      <c r="F333" s="33" t="s">
        <v>45</v>
      </c>
      <c r="G333" s="33" t="s">
        <v>46</v>
      </c>
      <c r="H333" s="33" t="s">
        <v>47</v>
      </c>
      <c r="I333" s="33"/>
      <c r="J333" s="44"/>
      <c r="K333"/>
      <c r="L333"/>
      <c r="M333"/>
      <c r="N333"/>
      <c r="O333"/>
      <c r="P333"/>
    </row>
    <row r="334" spans="1:16" s="1" customFormat="1" ht="12.75" customHeight="1" x14ac:dyDescent="0.25">
      <c r="A334" s="26" t="s">
        <v>816</v>
      </c>
      <c r="B334" s="26" t="s">
        <v>723</v>
      </c>
      <c r="C334" s="30" t="s">
        <v>50</v>
      </c>
      <c r="D334" s="35" t="s">
        <v>508</v>
      </c>
      <c r="E334" s="64">
        <v>0.5</v>
      </c>
      <c r="F334" s="45">
        <v>15</v>
      </c>
      <c r="G334" s="35">
        <v>2</v>
      </c>
      <c r="H334" s="40">
        <v>0.9</v>
      </c>
      <c r="I334" s="38" t="s">
        <v>817</v>
      </c>
      <c r="J334" s="34">
        <f>IFERROR(_xlfn.XLOOKUP(I334,Index!$A:$A,Index!$B:$B),"")</f>
        <v>907</v>
      </c>
      <c r="K334"/>
      <c r="L334"/>
      <c r="M334"/>
      <c r="N334"/>
      <c r="O334"/>
      <c r="P334"/>
    </row>
    <row r="335" spans="1:16" s="1" customFormat="1" ht="12.75" customHeight="1" x14ac:dyDescent="0.25">
      <c r="A335" s="26"/>
      <c r="B335" s="26"/>
      <c r="C335" s="30"/>
      <c r="D335" s="35" t="s">
        <v>508</v>
      </c>
      <c r="E335" s="64">
        <v>0.75</v>
      </c>
      <c r="F335" s="45">
        <v>20</v>
      </c>
      <c r="G335" s="35">
        <v>4</v>
      </c>
      <c r="H335" s="40">
        <v>1.8</v>
      </c>
      <c r="I335" s="38" t="s">
        <v>818</v>
      </c>
      <c r="J335" s="34">
        <f>IFERROR(_xlfn.XLOOKUP(I335,Index!$A:$A,Index!$B:$B),"")</f>
        <v>1118</v>
      </c>
      <c r="K335"/>
      <c r="L335"/>
      <c r="M335"/>
      <c r="N335"/>
      <c r="O335"/>
      <c r="P335"/>
    </row>
    <row r="336" spans="1:16" s="1" customFormat="1" ht="12.75" customHeight="1" x14ac:dyDescent="0.25">
      <c r="A336" s="26"/>
      <c r="B336" s="26"/>
      <c r="C336" s="30"/>
      <c r="D336" s="35" t="s">
        <v>508</v>
      </c>
      <c r="E336" s="64">
        <v>1</v>
      </c>
      <c r="F336" s="45">
        <v>25</v>
      </c>
      <c r="G336" s="35">
        <v>6</v>
      </c>
      <c r="H336" s="40">
        <v>2.7</v>
      </c>
      <c r="I336" s="38" t="s">
        <v>819</v>
      </c>
      <c r="J336" s="34">
        <f>IFERROR(_xlfn.XLOOKUP(I336,Index!$A:$A,Index!$B:$B),"")</f>
        <v>1448</v>
      </c>
      <c r="K336"/>
      <c r="L336"/>
      <c r="M336"/>
      <c r="N336"/>
      <c r="O336"/>
      <c r="P336"/>
    </row>
    <row r="337" spans="1:16" s="1" customFormat="1" ht="12.75" customHeight="1" x14ac:dyDescent="0.25">
      <c r="A337" s="26"/>
      <c r="B337" s="26"/>
      <c r="C337" s="30"/>
      <c r="D337" s="35" t="s">
        <v>508</v>
      </c>
      <c r="E337" s="64">
        <v>1.25</v>
      </c>
      <c r="F337" s="45">
        <v>32</v>
      </c>
      <c r="G337" s="35">
        <v>8</v>
      </c>
      <c r="H337" s="40">
        <v>3.6</v>
      </c>
      <c r="I337" s="38" t="s">
        <v>5542</v>
      </c>
      <c r="J337" s="34">
        <f>J338-150</f>
        <v>3233</v>
      </c>
      <c r="K337"/>
      <c r="L337"/>
      <c r="M337"/>
      <c r="N337"/>
      <c r="O337"/>
      <c r="P337"/>
    </row>
    <row r="338" spans="1:16" s="1" customFormat="1" ht="12.75" customHeight="1" x14ac:dyDescent="0.25">
      <c r="A338" s="26"/>
      <c r="B338" s="26"/>
      <c r="C338" s="30"/>
      <c r="D338" s="35" t="s">
        <v>508</v>
      </c>
      <c r="E338" s="64">
        <v>1.5</v>
      </c>
      <c r="F338" s="45">
        <v>40</v>
      </c>
      <c r="G338" s="35">
        <v>10</v>
      </c>
      <c r="H338" s="40">
        <v>4.5</v>
      </c>
      <c r="I338" s="38" t="s">
        <v>821</v>
      </c>
      <c r="J338" s="34">
        <f>IFERROR(_xlfn.XLOOKUP(I338,Index!$A:$A,Index!$B:$B),"")</f>
        <v>3383</v>
      </c>
      <c r="K338"/>
      <c r="L338"/>
      <c r="M338"/>
      <c r="N338"/>
      <c r="O338"/>
      <c r="P338"/>
    </row>
    <row r="339" spans="1:16" s="1" customFormat="1" ht="12.75" customHeight="1" x14ac:dyDescent="0.25">
      <c r="A339" s="27"/>
      <c r="B339" s="27"/>
      <c r="C339" s="31"/>
      <c r="D339" s="35" t="s">
        <v>508</v>
      </c>
      <c r="E339" s="64">
        <v>2</v>
      </c>
      <c r="F339" s="45">
        <v>50</v>
      </c>
      <c r="G339" s="35">
        <v>14</v>
      </c>
      <c r="H339" s="40">
        <v>6.4</v>
      </c>
      <c r="I339" s="38" t="s">
        <v>822</v>
      </c>
      <c r="J339" s="34">
        <f>IFERROR(_xlfn.XLOOKUP(I339,Index!$A:$A,Index!$B:$B),"")</f>
        <v>3948</v>
      </c>
      <c r="K339"/>
      <c r="L339"/>
      <c r="M339"/>
      <c r="N339"/>
      <c r="O339"/>
      <c r="P339"/>
    </row>
    <row r="340" spans="1:16" s="1" customFormat="1" ht="12.75" customHeight="1" x14ac:dyDescent="0.25">
      <c r="A340" s="12"/>
      <c r="B340" s="12"/>
      <c r="C340" s="4"/>
      <c r="D340" s="4"/>
      <c r="E340" s="5"/>
      <c r="F340" s="13"/>
      <c r="G340" s="4"/>
      <c r="H340" s="19"/>
      <c r="I340" s="19"/>
      <c r="J340" s="20"/>
      <c r="K340"/>
      <c r="L340"/>
      <c r="M340"/>
      <c r="N340"/>
      <c r="O340"/>
      <c r="P340"/>
    </row>
    <row r="341" spans="1:16" s="1" customFormat="1" ht="12.75" customHeight="1" x14ac:dyDescent="0.25">
      <c r="A341" s="12"/>
      <c r="B341" s="12"/>
      <c r="C341" s="4"/>
      <c r="D341" s="4"/>
      <c r="E341" s="5"/>
      <c r="F341" s="13"/>
      <c r="G341" s="4"/>
      <c r="H341" s="19"/>
      <c r="I341" s="19"/>
      <c r="J341" s="20"/>
      <c r="K341"/>
      <c r="L341"/>
      <c r="M341"/>
      <c r="N341"/>
      <c r="O341"/>
      <c r="P341"/>
    </row>
    <row r="342" spans="1:16" s="1" customFormat="1" ht="12.75" customHeight="1" x14ac:dyDescent="0.25">
      <c r="A342" s="57" t="s">
        <v>823</v>
      </c>
      <c r="B342" s="18"/>
      <c r="C342" s="18"/>
      <c r="D342" s="49"/>
      <c r="E342" s="50"/>
      <c r="F342" s="51"/>
      <c r="G342" s="52"/>
      <c r="H342" s="53"/>
      <c r="I342" s="53"/>
      <c r="J342" s="54"/>
      <c r="K342"/>
      <c r="L342"/>
      <c r="M342"/>
      <c r="N342"/>
      <c r="O342"/>
      <c r="P342"/>
    </row>
    <row r="343" spans="1:16" s="1" customFormat="1" ht="12.75" customHeight="1" x14ac:dyDescent="0.25">
      <c r="A343" s="56" t="s">
        <v>102</v>
      </c>
      <c r="B343" s="57"/>
      <c r="C343" s="58"/>
      <c r="D343" s="58"/>
      <c r="E343" s="59"/>
      <c r="F343" s="51"/>
      <c r="G343" s="58"/>
      <c r="H343" s="53"/>
      <c r="I343" s="53"/>
      <c r="J343" s="54"/>
      <c r="K343"/>
      <c r="L343"/>
      <c r="M343"/>
      <c r="N343"/>
      <c r="O343"/>
      <c r="P343"/>
    </row>
    <row r="344" spans="1:16" s="1" customFormat="1" ht="12.75" customHeight="1" x14ac:dyDescent="0.25">
      <c r="A344" s="25" t="s">
        <v>35</v>
      </c>
      <c r="B344" s="28" t="s">
        <v>103</v>
      </c>
      <c r="C344" s="335" t="s">
        <v>38</v>
      </c>
      <c r="D344" s="336"/>
      <c r="E344" s="42" t="s">
        <v>40</v>
      </c>
      <c r="F344" s="43" t="s">
        <v>3038</v>
      </c>
      <c r="G344"/>
      <c r="H344"/>
      <c r="I344"/>
      <c r="J344"/>
      <c r="K344"/>
      <c r="L344"/>
    </row>
    <row r="345" spans="1:16" s="79" customFormat="1" x14ac:dyDescent="0.25">
      <c r="A345" s="32"/>
      <c r="B345" s="32"/>
      <c r="C345" s="33" t="s">
        <v>44</v>
      </c>
      <c r="D345" s="33" t="s">
        <v>45</v>
      </c>
      <c r="E345" s="33"/>
      <c r="F345" s="44"/>
      <c r="G345"/>
      <c r="H345"/>
      <c r="I345"/>
      <c r="J345"/>
      <c r="K345"/>
      <c r="L345"/>
    </row>
    <row r="346" spans="1:16" s="1" customFormat="1" x14ac:dyDescent="0.25">
      <c r="A346" s="60" t="s">
        <v>5554</v>
      </c>
      <c r="B346" s="60" t="s">
        <v>104</v>
      </c>
      <c r="C346" s="64">
        <v>0.5</v>
      </c>
      <c r="D346" s="45">
        <v>15</v>
      </c>
      <c r="E346" s="35" t="s">
        <v>824</v>
      </c>
      <c r="F346" s="34">
        <f>IFERROR(_xlfn.XLOOKUP(E346,Index!$A:$A,Index!$B:$B),"")</f>
        <v>83.25</v>
      </c>
      <c r="G346"/>
      <c r="H346"/>
      <c r="I346"/>
      <c r="J346"/>
      <c r="K346"/>
      <c r="L346"/>
    </row>
    <row r="347" spans="1:16" s="1" customFormat="1" ht="12.75" customHeight="1" x14ac:dyDescent="0.25">
      <c r="A347" s="26"/>
      <c r="B347" s="26"/>
      <c r="C347" s="64">
        <v>0.75</v>
      </c>
      <c r="D347" s="45">
        <v>20</v>
      </c>
      <c r="E347" s="35" t="s">
        <v>825</v>
      </c>
      <c r="F347" s="34">
        <f>IFERROR(_xlfn.XLOOKUP(E347,Index!$A:$A,Index!$B:$B),"")</f>
        <v>83.25</v>
      </c>
      <c r="G347"/>
      <c r="H347"/>
      <c r="I347"/>
      <c r="J347"/>
      <c r="K347"/>
      <c r="L347"/>
    </row>
    <row r="348" spans="1:16" s="1" customFormat="1" ht="12.75" customHeight="1" x14ac:dyDescent="0.25">
      <c r="A348" s="26"/>
      <c r="B348" s="26"/>
      <c r="C348" s="64">
        <v>1</v>
      </c>
      <c r="D348" s="45">
        <v>25</v>
      </c>
      <c r="E348" s="35" t="s">
        <v>826</v>
      </c>
      <c r="F348" s="34">
        <f>IFERROR(_xlfn.XLOOKUP(E348,Index!$A:$A,Index!$B:$B),"")</f>
        <v>65.75</v>
      </c>
      <c r="G348"/>
      <c r="H348"/>
      <c r="I348"/>
      <c r="J348"/>
      <c r="K348"/>
      <c r="L348"/>
    </row>
    <row r="349" spans="1:16" s="1" customFormat="1" ht="12.75" customHeight="1" x14ac:dyDescent="0.25">
      <c r="A349" s="26"/>
      <c r="B349" s="26"/>
      <c r="C349" s="64">
        <v>1.25</v>
      </c>
      <c r="D349" s="45">
        <v>32</v>
      </c>
      <c r="E349" s="35" t="s">
        <v>827</v>
      </c>
      <c r="F349" s="34">
        <f>IFERROR(_xlfn.XLOOKUP(E349,Index!$A:$A,Index!$B:$B),"")</f>
        <v>85.5</v>
      </c>
      <c r="G349"/>
      <c r="H349"/>
      <c r="I349"/>
      <c r="J349"/>
      <c r="K349"/>
      <c r="L349"/>
    </row>
    <row r="350" spans="1:16" s="55" customFormat="1" x14ac:dyDescent="0.25">
      <c r="A350" s="26"/>
      <c r="B350" s="26"/>
      <c r="C350" s="64">
        <v>1.5</v>
      </c>
      <c r="D350" s="45">
        <v>40</v>
      </c>
      <c r="E350" s="35" t="s">
        <v>827</v>
      </c>
      <c r="F350" s="34">
        <f>IFERROR(_xlfn.XLOOKUP(E350,Index!$A:$A,Index!$B:$B),"")</f>
        <v>85.5</v>
      </c>
      <c r="G350"/>
      <c r="H350"/>
      <c r="I350"/>
      <c r="J350"/>
      <c r="K350"/>
      <c r="L350"/>
    </row>
    <row r="351" spans="1:16" s="55" customFormat="1" x14ac:dyDescent="0.25">
      <c r="A351" s="26"/>
      <c r="B351" s="26"/>
      <c r="C351" s="64">
        <v>2</v>
      </c>
      <c r="D351" s="45">
        <v>50</v>
      </c>
      <c r="E351" s="35" t="s">
        <v>828</v>
      </c>
      <c r="F351" s="34">
        <f>IFERROR(_xlfn.XLOOKUP(E351,Index!$A:$A,Index!$B:$B),"")</f>
        <v>98.5</v>
      </c>
      <c r="G351"/>
      <c r="H351"/>
      <c r="I351"/>
      <c r="J351"/>
      <c r="K351"/>
      <c r="L351"/>
    </row>
    <row r="352" spans="1:16" s="1" customFormat="1" ht="12.75" customHeight="1" x14ac:dyDescent="0.25">
      <c r="A352" s="26"/>
      <c r="B352" s="60" t="s">
        <v>210</v>
      </c>
      <c r="C352" s="64">
        <v>0.5</v>
      </c>
      <c r="D352" s="45">
        <v>15</v>
      </c>
      <c r="E352" s="35" t="s">
        <v>829</v>
      </c>
      <c r="F352" s="34">
        <f>IFERROR(_xlfn.XLOOKUP(E352,Index!$A:$A,Index!$B:$B),"")</f>
        <v>63.5</v>
      </c>
      <c r="G352"/>
      <c r="H352"/>
      <c r="I352"/>
      <c r="J352"/>
      <c r="K352"/>
      <c r="L352"/>
    </row>
    <row r="353" spans="1:16" s="1" customFormat="1" ht="12.75" customHeight="1" x14ac:dyDescent="0.25">
      <c r="A353" s="26"/>
      <c r="B353" s="26"/>
      <c r="C353" s="64">
        <v>0.75</v>
      </c>
      <c r="D353" s="45">
        <v>20</v>
      </c>
      <c r="E353" s="35" t="s">
        <v>830</v>
      </c>
      <c r="F353" s="34">
        <f>IFERROR(_xlfn.XLOOKUP(E353,Index!$A:$A,Index!$B:$B),"")</f>
        <v>80.5</v>
      </c>
      <c r="G353"/>
      <c r="H353"/>
      <c r="I353"/>
      <c r="J353"/>
      <c r="K353"/>
      <c r="L353"/>
    </row>
    <row r="354" spans="1:16" s="1" customFormat="1" ht="12.75" customHeight="1" x14ac:dyDescent="0.25">
      <c r="A354" s="26"/>
      <c r="B354" s="26"/>
      <c r="C354" s="64">
        <v>1</v>
      </c>
      <c r="D354" s="45">
        <v>25</v>
      </c>
      <c r="E354" s="35" t="s">
        <v>831</v>
      </c>
      <c r="F354" s="34">
        <f>IFERROR(_xlfn.XLOOKUP(E354,Index!$A:$A,Index!$B:$B),"")</f>
        <v>80.5</v>
      </c>
      <c r="G354"/>
      <c r="H354"/>
      <c r="I354"/>
      <c r="J354"/>
      <c r="K354"/>
      <c r="L354"/>
    </row>
    <row r="355" spans="1:16" s="1" customFormat="1" ht="12.75" customHeight="1" x14ac:dyDescent="0.25">
      <c r="A355" s="26"/>
      <c r="B355" s="26"/>
      <c r="C355" s="64">
        <v>1.25</v>
      </c>
      <c r="D355" s="45">
        <v>32</v>
      </c>
      <c r="E355" s="35" t="s">
        <v>832</v>
      </c>
      <c r="F355" s="34">
        <f>IFERROR(_xlfn.XLOOKUP(E355,Index!$A:$A,Index!$B:$B),"")</f>
        <v>80.5</v>
      </c>
      <c r="G355"/>
      <c r="H355"/>
      <c r="I355"/>
      <c r="J355"/>
      <c r="K355"/>
      <c r="L355"/>
    </row>
    <row r="356" spans="1:16" s="1" customFormat="1" ht="12.75" customHeight="1" x14ac:dyDescent="0.25">
      <c r="A356" s="26"/>
      <c r="B356" s="26"/>
      <c r="C356" s="64">
        <v>1.5</v>
      </c>
      <c r="D356" s="45">
        <v>40</v>
      </c>
      <c r="E356" s="35" t="s">
        <v>833</v>
      </c>
      <c r="F356" s="34">
        <f>IFERROR(_xlfn.XLOOKUP(E356,Index!$A:$A,Index!$B:$B),"")</f>
        <v>88.5</v>
      </c>
      <c r="G356"/>
      <c r="H356"/>
      <c r="I356"/>
      <c r="J356"/>
      <c r="K356"/>
      <c r="L356"/>
    </row>
    <row r="357" spans="1:16" s="1" customFormat="1" ht="12.75" customHeight="1" x14ac:dyDescent="0.25">
      <c r="A357" s="26"/>
      <c r="B357" s="26"/>
      <c r="C357" s="64">
        <v>2</v>
      </c>
      <c r="D357" s="45">
        <v>50</v>
      </c>
      <c r="E357" s="35" t="s">
        <v>834</v>
      </c>
      <c r="F357" s="34">
        <f>IFERROR(_xlfn.XLOOKUP(E357,Index!$A:$A,Index!$B:$B),"")</f>
        <v>88.5</v>
      </c>
      <c r="G357"/>
      <c r="H357"/>
      <c r="I357"/>
      <c r="J357"/>
      <c r="K357"/>
      <c r="L357"/>
    </row>
    <row r="358" spans="1:16" s="1" customFormat="1" ht="12.75" customHeight="1" x14ac:dyDescent="0.25">
      <c r="A358" s="26"/>
      <c r="B358" s="60" t="s">
        <v>719</v>
      </c>
      <c r="C358" s="64">
        <v>0.5</v>
      </c>
      <c r="D358" s="45">
        <v>15</v>
      </c>
      <c r="E358" s="35" t="s">
        <v>835</v>
      </c>
      <c r="F358" s="34">
        <f>IFERROR(_xlfn.XLOOKUP(E358,Index!$A:$A,Index!$B:$B),"")</f>
        <v>7</v>
      </c>
      <c r="G358"/>
      <c r="H358"/>
      <c r="I358"/>
      <c r="J358"/>
      <c r="K358"/>
      <c r="L358"/>
    </row>
    <row r="359" spans="1:16" s="1" customFormat="1" ht="12.75" customHeight="1" x14ac:dyDescent="0.25">
      <c r="A359" s="26"/>
      <c r="B359" s="26"/>
      <c r="C359" s="64">
        <v>0.75</v>
      </c>
      <c r="D359" s="45">
        <v>20</v>
      </c>
      <c r="E359" s="35" t="s">
        <v>836</v>
      </c>
      <c r="F359" s="34">
        <f>IFERROR(_xlfn.XLOOKUP(E359,Index!$A:$A,Index!$B:$B),"")</f>
        <v>7</v>
      </c>
      <c r="G359"/>
      <c r="H359"/>
      <c r="I359"/>
      <c r="J359"/>
      <c r="K359"/>
      <c r="L359"/>
    </row>
    <row r="360" spans="1:16" s="1" customFormat="1" ht="12.75" customHeight="1" x14ac:dyDescent="0.25">
      <c r="A360" s="26"/>
      <c r="B360" s="26"/>
      <c r="C360" s="64">
        <v>1</v>
      </c>
      <c r="D360" s="45">
        <v>25</v>
      </c>
      <c r="E360" s="35" t="s">
        <v>837</v>
      </c>
      <c r="F360" s="34">
        <f>IFERROR(_xlfn.XLOOKUP(E360,Index!$A:$A,Index!$B:$B),"")</f>
        <v>20</v>
      </c>
      <c r="G360"/>
      <c r="H360"/>
      <c r="I360"/>
      <c r="J360"/>
      <c r="K360"/>
      <c r="L360"/>
    </row>
    <row r="361" spans="1:16" s="1" customFormat="1" ht="12.75" customHeight="1" x14ac:dyDescent="0.25">
      <c r="A361" s="26"/>
      <c r="B361" s="26"/>
      <c r="C361" s="64">
        <v>1.25</v>
      </c>
      <c r="D361" s="45">
        <v>32</v>
      </c>
      <c r="E361" s="35" t="s">
        <v>838</v>
      </c>
      <c r="F361" s="34">
        <f>IFERROR(_xlfn.XLOOKUP(E361,Index!$A:$A,Index!$B:$B),"")</f>
        <v>33.25</v>
      </c>
      <c r="G361"/>
      <c r="H361"/>
      <c r="I361"/>
      <c r="J361"/>
      <c r="K361"/>
      <c r="L361"/>
    </row>
    <row r="362" spans="1:16" s="1" customFormat="1" ht="12.75" customHeight="1" x14ac:dyDescent="0.25">
      <c r="A362" s="26"/>
      <c r="B362" s="26"/>
      <c r="C362" s="64">
        <v>1.5</v>
      </c>
      <c r="D362" s="45">
        <v>40</v>
      </c>
      <c r="E362" s="35" t="s">
        <v>838</v>
      </c>
      <c r="F362" s="34">
        <f>IFERROR(_xlfn.XLOOKUP(E362,Index!$A:$A,Index!$B:$B),"")</f>
        <v>33.25</v>
      </c>
      <c r="G362"/>
      <c r="H362"/>
      <c r="I362"/>
      <c r="J362"/>
      <c r="K362"/>
      <c r="L362"/>
    </row>
    <row r="363" spans="1:16" s="1" customFormat="1" ht="12.75" customHeight="1" x14ac:dyDescent="0.25">
      <c r="A363" s="27"/>
      <c r="B363" s="27"/>
      <c r="C363" s="64">
        <v>2</v>
      </c>
      <c r="D363" s="45">
        <v>50</v>
      </c>
      <c r="E363" s="35" t="s">
        <v>5557</v>
      </c>
      <c r="F363" s="34">
        <f>IFERROR(_xlfn.XLOOKUP(E363,Index!$A:$A,Index!$B:$B),"")</f>
        <v>52.5</v>
      </c>
      <c r="G363"/>
      <c r="H363"/>
      <c r="I363"/>
      <c r="J363"/>
      <c r="K363"/>
      <c r="L363"/>
    </row>
    <row r="364" spans="1:16" s="1" customFormat="1" ht="12.75" customHeight="1" x14ac:dyDescent="0.25">
      <c r="A364" s="12"/>
      <c r="B364" s="12"/>
      <c r="C364" s="80"/>
      <c r="D364" s="81"/>
      <c r="E364" s="4"/>
      <c r="F364" s="19"/>
      <c r="G364"/>
      <c r="H364"/>
      <c r="I364"/>
      <c r="J364"/>
      <c r="K364"/>
      <c r="L364"/>
      <c r="M364"/>
      <c r="N364"/>
      <c r="O364"/>
      <c r="P364"/>
    </row>
    <row r="365" spans="1:16" s="1" customFormat="1" ht="12.75" customHeight="1" x14ac:dyDescent="0.25">
      <c r="A365" s="12"/>
      <c r="B365" s="12"/>
      <c r="C365" s="80"/>
      <c r="D365" s="81"/>
      <c r="E365" s="4"/>
      <c r="F365" s="19"/>
      <c r="G365"/>
      <c r="H365"/>
      <c r="I365"/>
      <c r="J365"/>
      <c r="K365"/>
      <c r="L365"/>
      <c r="M365"/>
      <c r="N365"/>
      <c r="O365"/>
      <c r="P365"/>
    </row>
    <row r="366" spans="1:16" s="1" customFormat="1" ht="15.75" x14ac:dyDescent="0.25">
      <c r="A366" s="62" t="s">
        <v>5559</v>
      </c>
      <c r="B366" s="62" t="s">
        <v>647</v>
      </c>
      <c r="C366" s="14"/>
      <c r="D366" s="3"/>
      <c r="E366" s="8"/>
      <c r="F366" s="9"/>
      <c r="G366" s="10"/>
      <c r="H366" s="19"/>
      <c r="I366" s="19"/>
      <c r="J366" s="20"/>
      <c r="K366"/>
      <c r="L366"/>
      <c r="M366"/>
      <c r="N366"/>
      <c r="O366"/>
      <c r="P366"/>
    </row>
    <row r="367" spans="1:16" s="1" customFormat="1" ht="15.75" x14ac:dyDescent="0.25">
      <c r="A367" s="48" t="s">
        <v>839</v>
      </c>
      <c r="B367" s="11"/>
      <c r="C367" s="4"/>
      <c r="D367" s="4"/>
      <c r="E367" s="5"/>
      <c r="F367" s="9"/>
      <c r="G367" s="4"/>
      <c r="H367" s="19"/>
      <c r="I367" s="19"/>
      <c r="J367" s="20"/>
      <c r="K367"/>
      <c r="L367"/>
      <c r="M367"/>
      <c r="N367"/>
      <c r="O367"/>
      <c r="P367"/>
    </row>
    <row r="368" spans="1:16" s="1" customFormat="1" x14ac:dyDescent="0.25">
      <c r="A368" s="25" t="s">
        <v>35</v>
      </c>
      <c r="B368" s="28" t="s">
        <v>36</v>
      </c>
      <c r="C368" s="29" t="s">
        <v>37</v>
      </c>
      <c r="D368" s="22"/>
      <c r="E368" s="22" t="s">
        <v>38</v>
      </c>
      <c r="F368" s="22"/>
      <c r="G368" s="23" t="s">
        <v>39</v>
      </c>
      <c r="H368" s="23"/>
      <c r="I368" s="42" t="s">
        <v>40</v>
      </c>
      <c r="J368" s="24" t="s">
        <v>41</v>
      </c>
      <c r="K368"/>
      <c r="L368"/>
      <c r="M368"/>
      <c r="N368"/>
      <c r="O368"/>
      <c r="P368"/>
    </row>
    <row r="369" spans="1:16" s="1" customFormat="1" ht="12.75" customHeight="1" x14ac:dyDescent="0.25">
      <c r="A369" s="32"/>
      <c r="B369" s="32"/>
      <c r="C369" s="33" t="s">
        <v>42</v>
      </c>
      <c r="D369" s="33" t="s">
        <v>43</v>
      </c>
      <c r="E369" s="33" t="s">
        <v>44</v>
      </c>
      <c r="F369" s="33" t="s">
        <v>45</v>
      </c>
      <c r="G369" s="33" t="s">
        <v>46</v>
      </c>
      <c r="H369" s="39" t="s">
        <v>47</v>
      </c>
      <c r="I369" s="33"/>
      <c r="J369" s="41"/>
      <c r="K369"/>
      <c r="L369"/>
      <c r="M369"/>
      <c r="N369"/>
      <c r="O369"/>
      <c r="P369"/>
    </row>
    <row r="370" spans="1:16" s="1" customFormat="1" ht="12.75" customHeight="1" x14ac:dyDescent="0.25">
      <c r="A370" s="26" t="s">
        <v>840</v>
      </c>
      <c r="B370" s="26" t="s">
        <v>841</v>
      </c>
      <c r="C370" s="30" t="s">
        <v>50</v>
      </c>
      <c r="D370" s="35" t="s">
        <v>176</v>
      </c>
      <c r="E370" s="64">
        <v>0.5</v>
      </c>
      <c r="F370" s="37">
        <v>15</v>
      </c>
      <c r="G370" s="35">
        <v>5.5</v>
      </c>
      <c r="H370" s="40">
        <v>2.5</v>
      </c>
      <c r="I370" s="38" t="s">
        <v>842</v>
      </c>
      <c r="J370" s="34">
        <f>IFERROR(_xlfn.XLOOKUP(I370,Index!$A:$A,Index!$B:$B),"")</f>
        <v>1001</v>
      </c>
      <c r="K370"/>
      <c r="L370"/>
      <c r="M370"/>
      <c r="N370"/>
      <c r="O370"/>
      <c r="P370"/>
    </row>
    <row r="371" spans="1:16" s="1" customFormat="1" ht="12.75" customHeight="1" x14ac:dyDescent="0.25">
      <c r="A371" s="26"/>
      <c r="B371" s="26"/>
      <c r="C371" s="30"/>
      <c r="D371" s="35" t="s">
        <v>53</v>
      </c>
      <c r="E371" s="64">
        <v>0.5</v>
      </c>
      <c r="F371" s="37">
        <v>15</v>
      </c>
      <c r="G371" s="35">
        <v>5.5</v>
      </c>
      <c r="H371" s="40">
        <v>2.5</v>
      </c>
      <c r="I371" s="38" t="s">
        <v>843</v>
      </c>
      <c r="J371" s="34">
        <f>IFERROR(_xlfn.XLOOKUP(I371,Index!$A:$A,Index!$B:$B),"")</f>
        <v>1050</v>
      </c>
      <c r="K371"/>
      <c r="L371"/>
      <c r="M371"/>
      <c r="N371"/>
      <c r="O371"/>
      <c r="P371"/>
    </row>
    <row r="372" spans="1:16" s="1" customFormat="1" ht="12.75" customHeight="1" x14ac:dyDescent="0.25">
      <c r="A372" s="26"/>
      <c r="B372" s="26"/>
      <c r="C372" s="30"/>
      <c r="D372" s="35" t="s">
        <v>55</v>
      </c>
      <c r="E372" s="64">
        <v>0.5</v>
      </c>
      <c r="F372" s="37">
        <v>15</v>
      </c>
      <c r="G372" s="35">
        <v>5.5</v>
      </c>
      <c r="H372" s="40">
        <v>2.5</v>
      </c>
      <c r="I372" s="38" t="s">
        <v>844</v>
      </c>
      <c r="J372" s="34">
        <f>IFERROR(_xlfn.XLOOKUP(I372,Index!$A:$A,Index!$B:$B),"")</f>
        <v>1050</v>
      </c>
      <c r="K372"/>
      <c r="L372"/>
      <c r="M372"/>
      <c r="N372"/>
      <c r="O372"/>
      <c r="P372"/>
    </row>
    <row r="373" spans="1:16" s="1" customFormat="1" ht="12.75" customHeight="1" x14ac:dyDescent="0.25">
      <c r="A373" s="26"/>
      <c r="B373" s="26"/>
      <c r="C373" s="30"/>
      <c r="D373" s="35" t="s">
        <v>176</v>
      </c>
      <c r="E373" s="36" t="s">
        <v>217</v>
      </c>
      <c r="F373" s="37">
        <v>20</v>
      </c>
      <c r="G373" s="35">
        <v>10.3</v>
      </c>
      <c r="H373" s="40">
        <v>4.5999999999999996</v>
      </c>
      <c r="I373" s="38" t="s">
        <v>845</v>
      </c>
      <c r="J373" s="34">
        <f>IFERROR(_xlfn.XLOOKUP(I373,Index!$A:$A,Index!$B:$B),"")</f>
        <v>1117</v>
      </c>
      <c r="K373"/>
      <c r="L373"/>
      <c r="M373"/>
      <c r="N373"/>
      <c r="O373"/>
      <c r="P373"/>
    </row>
    <row r="374" spans="1:16" s="1" customFormat="1" ht="12.75" customHeight="1" x14ac:dyDescent="0.25">
      <c r="A374" s="26"/>
      <c r="B374" s="26"/>
      <c r="C374" s="30"/>
      <c r="D374" s="35" t="s">
        <v>53</v>
      </c>
      <c r="E374" s="36" t="s">
        <v>217</v>
      </c>
      <c r="F374" s="37">
        <v>20</v>
      </c>
      <c r="G374" s="35">
        <v>10.3</v>
      </c>
      <c r="H374" s="40">
        <v>4.5999999999999996</v>
      </c>
      <c r="I374" s="38" t="s">
        <v>846</v>
      </c>
      <c r="J374" s="34">
        <f>IFERROR(_xlfn.XLOOKUP(I374,Index!$A:$A,Index!$B:$B),"")</f>
        <v>1173</v>
      </c>
      <c r="K374"/>
      <c r="L374"/>
      <c r="M374"/>
      <c r="N374"/>
      <c r="O374"/>
      <c r="P374"/>
    </row>
    <row r="375" spans="1:16" s="1" customFormat="1" ht="12.75" customHeight="1" x14ac:dyDescent="0.25">
      <c r="A375" s="26"/>
      <c r="B375" s="26"/>
      <c r="C375" s="30"/>
      <c r="D375" s="35" t="s">
        <v>55</v>
      </c>
      <c r="E375" s="36" t="s">
        <v>217</v>
      </c>
      <c r="F375" s="37">
        <v>20</v>
      </c>
      <c r="G375" s="35">
        <v>10.3</v>
      </c>
      <c r="H375" s="40">
        <v>4.5999999999999996</v>
      </c>
      <c r="I375" s="38" t="s">
        <v>847</v>
      </c>
      <c r="J375" s="34">
        <f>IFERROR(_xlfn.XLOOKUP(I375,Index!$A:$A,Index!$B:$B),"")</f>
        <v>1173</v>
      </c>
      <c r="K375"/>
      <c r="L375"/>
      <c r="M375"/>
      <c r="N375"/>
      <c r="O375"/>
      <c r="P375"/>
    </row>
    <row r="376" spans="1:16" s="1" customFormat="1" ht="12.75" customHeight="1" x14ac:dyDescent="0.25">
      <c r="A376" s="26"/>
      <c r="B376" s="26"/>
      <c r="C376" s="30"/>
      <c r="D376" s="35" t="s">
        <v>176</v>
      </c>
      <c r="E376" s="36">
        <v>1</v>
      </c>
      <c r="F376" s="37">
        <v>25</v>
      </c>
      <c r="G376" s="35">
        <v>10.3</v>
      </c>
      <c r="H376" s="40">
        <v>4.5999999999999996</v>
      </c>
      <c r="I376" s="38" t="s">
        <v>848</v>
      </c>
      <c r="J376" s="34">
        <f>IFERROR(_xlfn.XLOOKUP(I376,Index!$A:$A,Index!$B:$B),"")</f>
        <v>1129</v>
      </c>
      <c r="K376"/>
      <c r="L376"/>
      <c r="M376"/>
      <c r="N376"/>
      <c r="O376"/>
      <c r="P376"/>
    </row>
    <row r="377" spans="1:16" s="1" customFormat="1" ht="12.75" customHeight="1" x14ac:dyDescent="0.25">
      <c r="A377" s="26"/>
      <c r="B377" s="26"/>
      <c r="C377" s="30"/>
      <c r="D377" s="35" t="s">
        <v>53</v>
      </c>
      <c r="E377" s="36">
        <v>1</v>
      </c>
      <c r="F377" s="37">
        <v>25</v>
      </c>
      <c r="G377" s="35">
        <v>10.3</v>
      </c>
      <c r="H377" s="40">
        <v>4.5999999999999996</v>
      </c>
      <c r="I377" s="38" t="s">
        <v>849</v>
      </c>
      <c r="J377" s="34">
        <f>IFERROR(_xlfn.XLOOKUP(I377,Index!$A:$A,Index!$B:$B),"")</f>
        <v>1186</v>
      </c>
      <c r="K377"/>
      <c r="L377"/>
      <c r="M377"/>
      <c r="N377"/>
      <c r="O377"/>
      <c r="P377"/>
    </row>
    <row r="378" spans="1:16" s="1" customFormat="1" ht="12.75" customHeight="1" x14ac:dyDescent="0.25">
      <c r="A378" s="26"/>
      <c r="B378" s="26"/>
      <c r="C378" s="30"/>
      <c r="D378" s="35" t="s">
        <v>55</v>
      </c>
      <c r="E378" s="36">
        <v>1</v>
      </c>
      <c r="F378" s="37">
        <v>25</v>
      </c>
      <c r="G378" s="35">
        <v>10.4</v>
      </c>
      <c r="H378" s="40">
        <v>4.5999999999999996</v>
      </c>
      <c r="I378" s="38" t="s">
        <v>850</v>
      </c>
      <c r="J378" s="34">
        <f>IFERROR(_xlfn.XLOOKUP(I378,Index!$A:$A,Index!$B:$B),"")</f>
        <v>1186</v>
      </c>
      <c r="K378"/>
      <c r="L378"/>
      <c r="M378"/>
      <c r="N378"/>
      <c r="O378"/>
      <c r="P378"/>
    </row>
    <row r="379" spans="1:16" s="1" customFormat="1" ht="12.75" customHeight="1" x14ac:dyDescent="0.25">
      <c r="A379" s="26"/>
      <c r="B379" s="26"/>
      <c r="C379" s="30"/>
      <c r="D379" s="35" t="s">
        <v>176</v>
      </c>
      <c r="E379" s="36" t="s">
        <v>223</v>
      </c>
      <c r="F379" s="37">
        <v>32</v>
      </c>
      <c r="G379" s="35">
        <v>9.8000000000000007</v>
      </c>
      <c r="H379" s="40">
        <v>4.4000000000000004</v>
      </c>
      <c r="I379" s="38" t="s">
        <v>851</v>
      </c>
      <c r="J379" s="34">
        <f>IFERROR(_xlfn.XLOOKUP(I379,Index!$A:$A,Index!$B:$B),"")</f>
        <v>1152</v>
      </c>
      <c r="K379"/>
      <c r="L379"/>
      <c r="M379"/>
      <c r="N379"/>
      <c r="O379"/>
      <c r="P379"/>
    </row>
    <row r="380" spans="1:16" s="1" customFormat="1" ht="12.75" customHeight="1" x14ac:dyDescent="0.25">
      <c r="A380" s="26"/>
      <c r="B380" s="26"/>
      <c r="C380" s="30"/>
      <c r="D380" s="35" t="s">
        <v>53</v>
      </c>
      <c r="E380" s="36" t="s">
        <v>223</v>
      </c>
      <c r="F380" s="37">
        <v>32</v>
      </c>
      <c r="G380" s="35">
        <v>9.8000000000000007</v>
      </c>
      <c r="H380" s="40">
        <v>4.4000000000000004</v>
      </c>
      <c r="I380" s="268" t="s">
        <v>5542</v>
      </c>
      <c r="J380" s="34">
        <f>J379+45</f>
        <v>1197</v>
      </c>
      <c r="K380"/>
      <c r="L380"/>
      <c r="M380"/>
      <c r="N380"/>
      <c r="O380"/>
      <c r="P380"/>
    </row>
    <row r="381" spans="1:16" s="1" customFormat="1" ht="12.75" customHeight="1" x14ac:dyDescent="0.25">
      <c r="A381" s="26"/>
      <c r="B381" s="26"/>
      <c r="C381" s="30"/>
      <c r="D381" s="35" t="s">
        <v>55</v>
      </c>
      <c r="E381" s="36" t="s">
        <v>223</v>
      </c>
      <c r="F381" s="37">
        <v>32</v>
      </c>
      <c r="G381" s="35">
        <v>9.8000000000000007</v>
      </c>
      <c r="H381" s="40">
        <v>4.4000000000000004</v>
      </c>
      <c r="I381" s="268" t="s">
        <v>5542</v>
      </c>
      <c r="J381" s="34">
        <f>J380</f>
        <v>1197</v>
      </c>
      <c r="K381"/>
      <c r="L381"/>
      <c r="M381"/>
      <c r="N381"/>
      <c r="O381"/>
      <c r="P381"/>
    </row>
    <row r="382" spans="1:16" s="1" customFormat="1" ht="12.75" customHeight="1" x14ac:dyDescent="0.25">
      <c r="A382" s="26"/>
      <c r="B382" s="26"/>
      <c r="C382" s="30"/>
      <c r="D382" s="35" t="s">
        <v>176</v>
      </c>
      <c r="E382" s="36" t="s">
        <v>225</v>
      </c>
      <c r="F382" s="37">
        <v>40</v>
      </c>
      <c r="G382" s="35">
        <v>12.5</v>
      </c>
      <c r="H382" s="40">
        <v>5.7</v>
      </c>
      <c r="I382" s="38" t="s">
        <v>852</v>
      </c>
      <c r="J382" s="34">
        <f>IFERROR(_xlfn.XLOOKUP(I382,Index!$A:$A,Index!$B:$B),"")</f>
        <v>1161</v>
      </c>
      <c r="K382"/>
      <c r="L382"/>
      <c r="M382"/>
      <c r="N382"/>
      <c r="O382"/>
      <c r="P382"/>
    </row>
    <row r="383" spans="1:16" s="1" customFormat="1" ht="12.75" customHeight="1" x14ac:dyDescent="0.25">
      <c r="A383" s="26"/>
      <c r="B383" s="26"/>
      <c r="C383" s="30"/>
      <c r="D383" s="35" t="s">
        <v>53</v>
      </c>
      <c r="E383" s="36" t="s">
        <v>225</v>
      </c>
      <c r="F383" s="37">
        <v>40</v>
      </c>
      <c r="G383" s="35">
        <v>12.5</v>
      </c>
      <c r="H383" s="40">
        <v>5.7</v>
      </c>
      <c r="I383" s="38" t="s">
        <v>853</v>
      </c>
      <c r="J383" s="34">
        <f>IFERROR(_xlfn.XLOOKUP(I383,Index!$A:$A,Index!$B:$B),"")</f>
        <v>1218</v>
      </c>
      <c r="K383"/>
      <c r="L383"/>
      <c r="M383"/>
      <c r="N383"/>
      <c r="O383"/>
      <c r="P383"/>
    </row>
    <row r="384" spans="1:16" s="1" customFormat="1" ht="12.75" customHeight="1" x14ac:dyDescent="0.25">
      <c r="A384" s="26"/>
      <c r="B384" s="26"/>
      <c r="C384" s="30"/>
      <c r="D384" s="35" t="s">
        <v>55</v>
      </c>
      <c r="E384" s="36" t="s">
        <v>225</v>
      </c>
      <c r="F384" s="37">
        <v>40</v>
      </c>
      <c r="G384" s="35">
        <v>12.5</v>
      </c>
      <c r="H384" s="40">
        <v>5.7</v>
      </c>
      <c r="I384" s="38" t="s">
        <v>854</v>
      </c>
      <c r="J384" s="34">
        <f>IFERROR(_xlfn.XLOOKUP(I384,Index!$A:$A,Index!$B:$B),"")</f>
        <v>1218</v>
      </c>
      <c r="K384"/>
      <c r="L384"/>
      <c r="M384"/>
      <c r="N384"/>
      <c r="O384"/>
      <c r="P384"/>
    </row>
    <row r="385" spans="1:16" s="1" customFormat="1" ht="12.75" customHeight="1" x14ac:dyDescent="0.25">
      <c r="A385" s="26"/>
      <c r="B385" s="26"/>
      <c r="C385" s="30"/>
      <c r="D385" s="35" t="s">
        <v>176</v>
      </c>
      <c r="E385" s="36">
        <v>2</v>
      </c>
      <c r="F385" s="37">
        <v>50</v>
      </c>
      <c r="G385" s="35">
        <v>16</v>
      </c>
      <c r="H385" s="40">
        <v>7.3</v>
      </c>
      <c r="I385" s="38" t="s">
        <v>855</v>
      </c>
      <c r="J385" s="34">
        <f>IFERROR(_xlfn.XLOOKUP(I385,Index!$A:$A,Index!$B:$B),"")</f>
        <v>1161</v>
      </c>
      <c r="K385"/>
      <c r="L385"/>
      <c r="M385"/>
      <c r="N385"/>
      <c r="O385"/>
      <c r="P385"/>
    </row>
    <row r="386" spans="1:16" s="1" customFormat="1" ht="12.75" customHeight="1" x14ac:dyDescent="0.25">
      <c r="A386" s="26"/>
      <c r="B386" s="26"/>
      <c r="C386" s="30"/>
      <c r="D386" s="35" t="s">
        <v>53</v>
      </c>
      <c r="E386" s="36">
        <v>2</v>
      </c>
      <c r="F386" s="37">
        <v>50</v>
      </c>
      <c r="G386" s="35">
        <v>16</v>
      </c>
      <c r="H386" s="40">
        <v>7.3</v>
      </c>
      <c r="I386" s="38" t="s">
        <v>856</v>
      </c>
      <c r="J386" s="34">
        <f>IFERROR(_xlfn.XLOOKUP(I386,Index!$A:$A,Index!$B:$B),"")</f>
        <v>1218</v>
      </c>
      <c r="K386"/>
      <c r="L386"/>
      <c r="M386"/>
      <c r="N386"/>
      <c r="O386"/>
      <c r="P386"/>
    </row>
    <row r="387" spans="1:16" s="1" customFormat="1" ht="12.75" customHeight="1" x14ac:dyDescent="0.25">
      <c r="A387" s="26"/>
      <c r="B387" s="26"/>
      <c r="C387" s="30"/>
      <c r="D387" s="35" t="s">
        <v>55</v>
      </c>
      <c r="E387" s="36">
        <v>2</v>
      </c>
      <c r="F387" s="37">
        <v>50</v>
      </c>
      <c r="G387" s="35">
        <v>16</v>
      </c>
      <c r="H387" s="40">
        <v>7.3</v>
      </c>
      <c r="I387" s="38" t="s">
        <v>857</v>
      </c>
      <c r="J387" s="34">
        <f>IFERROR(_xlfn.XLOOKUP(I387,Index!$A:$A,Index!$B:$B),"")</f>
        <v>1218</v>
      </c>
      <c r="K387"/>
      <c r="L387"/>
      <c r="M387"/>
      <c r="N387"/>
      <c r="O387"/>
      <c r="P387"/>
    </row>
    <row r="388" spans="1:16" s="1" customFormat="1" ht="12.75" customHeight="1" x14ac:dyDescent="0.25">
      <c r="A388" s="26"/>
      <c r="B388" s="26"/>
      <c r="C388" s="30"/>
      <c r="D388" s="35" t="s">
        <v>176</v>
      </c>
      <c r="E388" s="36" t="s">
        <v>231</v>
      </c>
      <c r="F388" s="37">
        <v>65</v>
      </c>
      <c r="G388" s="35">
        <v>27</v>
      </c>
      <c r="H388" s="40">
        <v>12.2</v>
      </c>
      <c r="I388" s="38" t="s">
        <v>858</v>
      </c>
      <c r="J388" s="34">
        <f>IFERROR(_xlfn.XLOOKUP(I388,Index!$A:$A,Index!$B:$B),"")</f>
        <v>1274</v>
      </c>
      <c r="K388"/>
      <c r="L388"/>
      <c r="M388"/>
      <c r="N388"/>
      <c r="O388"/>
      <c r="P388"/>
    </row>
    <row r="389" spans="1:16" s="1" customFormat="1" ht="12.75" customHeight="1" x14ac:dyDescent="0.25">
      <c r="A389" s="26"/>
      <c r="B389" s="26"/>
      <c r="C389" s="30"/>
      <c r="D389" s="35" t="s">
        <v>53</v>
      </c>
      <c r="E389" s="36" t="s">
        <v>231</v>
      </c>
      <c r="F389" s="37">
        <v>65</v>
      </c>
      <c r="G389" s="35">
        <v>27</v>
      </c>
      <c r="H389" s="40">
        <v>12.2</v>
      </c>
      <c r="I389" s="38" t="s">
        <v>859</v>
      </c>
      <c r="J389" s="34">
        <f>IFERROR(_xlfn.XLOOKUP(I389,Index!$A:$A,Index!$B:$B),"")</f>
        <v>1339</v>
      </c>
      <c r="K389"/>
      <c r="L389"/>
      <c r="M389"/>
      <c r="N389"/>
      <c r="O389"/>
      <c r="P389"/>
    </row>
    <row r="390" spans="1:16" s="1" customFormat="1" ht="12.75" customHeight="1" x14ac:dyDescent="0.25">
      <c r="A390" s="26"/>
      <c r="B390" s="26"/>
      <c r="C390" s="30"/>
      <c r="D390" s="35" t="s">
        <v>55</v>
      </c>
      <c r="E390" s="36" t="s">
        <v>231</v>
      </c>
      <c r="F390" s="37">
        <v>65</v>
      </c>
      <c r="G390" s="35">
        <v>27</v>
      </c>
      <c r="H390" s="40">
        <v>12.2</v>
      </c>
      <c r="I390" s="38" t="s">
        <v>860</v>
      </c>
      <c r="J390" s="34">
        <f>IFERROR(_xlfn.XLOOKUP(I390,Index!$A:$A,Index!$B:$B),"")</f>
        <v>1339</v>
      </c>
      <c r="K390"/>
      <c r="L390"/>
      <c r="M390"/>
      <c r="N390"/>
      <c r="O390"/>
      <c r="P390"/>
    </row>
    <row r="391" spans="1:16" s="1" customFormat="1" ht="12.75" customHeight="1" x14ac:dyDescent="0.25">
      <c r="A391" s="26"/>
      <c r="B391" s="26"/>
      <c r="C391" s="30"/>
      <c r="D391" s="35" t="s">
        <v>176</v>
      </c>
      <c r="E391" s="36">
        <v>3</v>
      </c>
      <c r="F391" s="37">
        <v>80</v>
      </c>
      <c r="G391" s="35">
        <v>30</v>
      </c>
      <c r="H391" s="40">
        <v>13.6</v>
      </c>
      <c r="I391" s="38" t="s">
        <v>861</v>
      </c>
      <c r="J391" s="34">
        <f>IFERROR(_xlfn.XLOOKUP(I391,Index!$A:$A,Index!$B:$B),"")</f>
        <v>1341</v>
      </c>
      <c r="K391"/>
      <c r="L391"/>
      <c r="M391"/>
      <c r="N391"/>
      <c r="O391"/>
      <c r="P391"/>
    </row>
    <row r="392" spans="1:16" s="1" customFormat="1" ht="12.75" customHeight="1" x14ac:dyDescent="0.25">
      <c r="A392" s="26"/>
      <c r="B392" s="26"/>
      <c r="C392" s="30"/>
      <c r="D392" s="35" t="s">
        <v>53</v>
      </c>
      <c r="E392" s="36">
        <v>3</v>
      </c>
      <c r="F392" s="37">
        <v>80</v>
      </c>
      <c r="G392" s="35">
        <v>30</v>
      </c>
      <c r="H392" s="40">
        <v>13.6</v>
      </c>
      <c r="I392" s="38" t="s">
        <v>862</v>
      </c>
      <c r="J392" s="34">
        <f>IFERROR(_xlfn.XLOOKUP(I392,Index!$A:$A,Index!$B:$B),"")</f>
        <v>1407</v>
      </c>
      <c r="K392"/>
      <c r="L392"/>
      <c r="M392"/>
      <c r="N392"/>
      <c r="O392"/>
      <c r="P392"/>
    </row>
    <row r="393" spans="1:16" s="1" customFormat="1" ht="12.75" customHeight="1" x14ac:dyDescent="0.25">
      <c r="A393" s="26"/>
      <c r="B393" s="26"/>
      <c r="C393" s="30"/>
      <c r="D393" s="35" t="s">
        <v>55</v>
      </c>
      <c r="E393" s="36">
        <v>3</v>
      </c>
      <c r="F393" s="37">
        <v>80</v>
      </c>
      <c r="G393" s="35">
        <v>30</v>
      </c>
      <c r="H393" s="40">
        <v>13.6</v>
      </c>
      <c r="I393" s="38" t="s">
        <v>863</v>
      </c>
      <c r="J393" s="34">
        <f>IFERROR(_xlfn.XLOOKUP(I393,Index!$A:$A,Index!$B:$B),"")</f>
        <v>1407</v>
      </c>
      <c r="K393"/>
      <c r="L393"/>
      <c r="M393"/>
      <c r="N393"/>
      <c r="O393"/>
      <c r="P393"/>
    </row>
    <row r="394" spans="1:16" s="1" customFormat="1" ht="12.75" customHeight="1" x14ac:dyDescent="0.25">
      <c r="A394" s="26"/>
      <c r="B394" s="26"/>
      <c r="C394" s="30"/>
      <c r="D394" s="35" t="s">
        <v>176</v>
      </c>
      <c r="E394" s="36">
        <v>4</v>
      </c>
      <c r="F394" s="37">
        <v>100</v>
      </c>
      <c r="G394" s="35">
        <v>51</v>
      </c>
      <c r="H394" s="40">
        <v>23</v>
      </c>
      <c r="I394" s="38" t="s">
        <v>864</v>
      </c>
      <c r="J394" s="34">
        <f>IFERROR(_xlfn.XLOOKUP(I394,Index!$A:$A,Index!$B:$B),"")</f>
        <v>2196</v>
      </c>
      <c r="K394"/>
      <c r="L394"/>
      <c r="M394"/>
      <c r="N394"/>
      <c r="O394"/>
      <c r="P394"/>
    </row>
    <row r="395" spans="1:16" s="1" customFormat="1" ht="12.75" customHeight="1" x14ac:dyDescent="0.25">
      <c r="A395" s="26"/>
      <c r="B395" s="26"/>
      <c r="C395" s="30"/>
      <c r="D395" s="35" t="s">
        <v>53</v>
      </c>
      <c r="E395" s="36">
        <v>4</v>
      </c>
      <c r="F395" s="37">
        <v>100</v>
      </c>
      <c r="G395" s="35">
        <v>51</v>
      </c>
      <c r="H395" s="40">
        <v>23</v>
      </c>
      <c r="I395" s="38" t="s">
        <v>865</v>
      </c>
      <c r="J395" s="34">
        <f>IFERROR(_xlfn.XLOOKUP(I395,Index!$A:$A,Index!$B:$B),"")</f>
        <v>2305</v>
      </c>
      <c r="K395"/>
      <c r="L395"/>
      <c r="M395"/>
      <c r="N395"/>
      <c r="O395"/>
      <c r="P395"/>
    </row>
    <row r="396" spans="1:16" s="1" customFormat="1" ht="12.75" customHeight="1" x14ac:dyDescent="0.25">
      <c r="A396" s="26"/>
      <c r="B396" s="26"/>
      <c r="C396" s="30"/>
      <c r="D396" s="35" t="s">
        <v>55</v>
      </c>
      <c r="E396" s="36">
        <v>4</v>
      </c>
      <c r="F396" s="37">
        <v>100</v>
      </c>
      <c r="G396" s="35">
        <v>51</v>
      </c>
      <c r="H396" s="40">
        <v>23</v>
      </c>
      <c r="I396" s="38" t="s">
        <v>866</v>
      </c>
      <c r="J396" s="34">
        <f>IFERROR(_xlfn.XLOOKUP(I396,Index!$A:$A,Index!$B:$B),"")</f>
        <v>2305</v>
      </c>
      <c r="K396"/>
      <c r="L396"/>
      <c r="M396"/>
      <c r="N396"/>
      <c r="O396"/>
      <c r="P396"/>
    </row>
    <row r="397" spans="1:16" s="1" customFormat="1" ht="12.75" customHeight="1" x14ac:dyDescent="0.25">
      <c r="A397" s="26"/>
      <c r="B397" s="26"/>
      <c r="C397" s="30"/>
      <c r="D397" s="35" t="s">
        <v>241</v>
      </c>
      <c r="E397" s="36">
        <v>5</v>
      </c>
      <c r="F397" s="37">
        <v>125</v>
      </c>
      <c r="G397" s="35">
        <v>81</v>
      </c>
      <c r="H397" s="40">
        <v>36.700000000000003</v>
      </c>
      <c r="I397" s="38" t="s">
        <v>867</v>
      </c>
      <c r="J397" s="34">
        <f>IFERROR(_xlfn.XLOOKUP(I397,Index!$A:$A,Index!$B:$B),"")</f>
        <v>3527</v>
      </c>
      <c r="K397"/>
      <c r="L397"/>
      <c r="M397"/>
      <c r="N397"/>
      <c r="O397"/>
      <c r="P397"/>
    </row>
    <row r="398" spans="1:16" s="1" customFormat="1" ht="12.75" customHeight="1" x14ac:dyDescent="0.25">
      <c r="A398" s="26"/>
      <c r="B398" s="26"/>
      <c r="C398" s="30"/>
      <c r="D398" s="35" t="s">
        <v>53</v>
      </c>
      <c r="E398" s="36">
        <v>5</v>
      </c>
      <c r="F398" s="37">
        <v>125</v>
      </c>
      <c r="G398" s="35">
        <v>81</v>
      </c>
      <c r="H398" s="40">
        <v>36.700000000000003</v>
      </c>
      <c r="I398" s="38" t="s">
        <v>868</v>
      </c>
      <c r="J398" s="34">
        <f>IFERROR(_xlfn.XLOOKUP(I398,Index!$A:$A,Index!$B:$B),"")</f>
        <v>3705</v>
      </c>
      <c r="K398"/>
      <c r="L398"/>
      <c r="M398"/>
      <c r="N398"/>
      <c r="O398"/>
      <c r="P398"/>
    </row>
    <row r="399" spans="1:16" s="1" customFormat="1" ht="12.75" customHeight="1" x14ac:dyDescent="0.25">
      <c r="A399" s="26"/>
      <c r="B399" s="26"/>
      <c r="C399" s="30"/>
      <c r="D399" s="35" t="s">
        <v>55</v>
      </c>
      <c r="E399" s="36">
        <v>5</v>
      </c>
      <c r="F399" s="37">
        <v>125</v>
      </c>
      <c r="G399" s="35">
        <v>81</v>
      </c>
      <c r="H399" s="40">
        <v>36.700000000000003</v>
      </c>
      <c r="I399" s="38" t="s">
        <v>869</v>
      </c>
      <c r="J399" s="34">
        <f>IFERROR(_xlfn.XLOOKUP(I399,Index!$A:$A,Index!$B:$B),"")</f>
        <v>3705</v>
      </c>
      <c r="K399"/>
      <c r="L399"/>
      <c r="M399"/>
      <c r="N399"/>
      <c r="O399"/>
      <c r="P399"/>
    </row>
    <row r="400" spans="1:16" s="1" customFormat="1" ht="12.75" customHeight="1" x14ac:dyDescent="0.25">
      <c r="A400" s="26"/>
      <c r="B400" s="26"/>
      <c r="C400" s="30"/>
      <c r="D400" s="35" t="s">
        <v>241</v>
      </c>
      <c r="E400" s="36">
        <v>6</v>
      </c>
      <c r="F400" s="37">
        <v>150</v>
      </c>
      <c r="G400" s="35">
        <v>109</v>
      </c>
      <c r="H400" s="40">
        <v>49.4</v>
      </c>
      <c r="I400" s="38" t="s">
        <v>870</v>
      </c>
      <c r="J400" s="34">
        <f>IFERROR(_xlfn.XLOOKUP(I400,Index!$A:$A,Index!$B:$B),"")</f>
        <v>3911</v>
      </c>
      <c r="K400"/>
      <c r="L400"/>
      <c r="M400"/>
      <c r="N400"/>
      <c r="O400"/>
      <c r="P400"/>
    </row>
    <row r="401" spans="1:16" s="1" customFormat="1" ht="12.75" customHeight="1" x14ac:dyDescent="0.25">
      <c r="A401" s="26"/>
      <c r="B401" s="26"/>
      <c r="C401" s="30"/>
      <c r="D401" s="35" t="s">
        <v>53</v>
      </c>
      <c r="E401" s="36">
        <v>6</v>
      </c>
      <c r="F401" s="37">
        <v>150</v>
      </c>
      <c r="G401" s="35">
        <v>109</v>
      </c>
      <c r="H401" s="40">
        <v>49.4</v>
      </c>
      <c r="I401" s="38" t="s">
        <v>871</v>
      </c>
      <c r="J401" s="34">
        <f>IFERROR(_xlfn.XLOOKUP(I401,Index!$A:$A,Index!$B:$B),"")</f>
        <v>4107</v>
      </c>
      <c r="K401"/>
      <c r="L401"/>
      <c r="M401"/>
      <c r="N401"/>
      <c r="O401"/>
      <c r="P401"/>
    </row>
    <row r="402" spans="1:16" s="1" customFormat="1" ht="12.75" customHeight="1" x14ac:dyDescent="0.25">
      <c r="A402" s="26"/>
      <c r="B402" s="26"/>
      <c r="C402" s="30"/>
      <c r="D402" s="35" t="s">
        <v>55</v>
      </c>
      <c r="E402" s="36">
        <v>6</v>
      </c>
      <c r="F402" s="37">
        <v>150</v>
      </c>
      <c r="G402" s="35">
        <v>109</v>
      </c>
      <c r="H402" s="40">
        <v>49.4</v>
      </c>
      <c r="I402" s="38" t="s">
        <v>872</v>
      </c>
      <c r="J402" s="34">
        <f>IFERROR(_xlfn.XLOOKUP(I402,Index!$A:$A,Index!$B:$B),"")</f>
        <v>4107</v>
      </c>
      <c r="K402"/>
      <c r="L402"/>
      <c r="M402"/>
      <c r="N402"/>
      <c r="O402"/>
      <c r="P402"/>
    </row>
    <row r="403" spans="1:16" s="1" customFormat="1" ht="12.75" customHeight="1" x14ac:dyDescent="0.25">
      <c r="A403" s="26"/>
      <c r="B403" s="26"/>
      <c r="C403" s="30"/>
      <c r="D403" s="35" t="s">
        <v>241</v>
      </c>
      <c r="E403" s="36">
        <v>8</v>
      </c>
      <c r="F403" s="37">
        <v>200</v>
      </c>
      <c r="G403" s="35">
        <v>190</v>
      </c>
      <c r="H403" s="40">
        <v>86.2</v>
      </c>
      <c r="I403" s="38" t="s">
        <v>873</v>
      </c>
      <c r="J403" s="34">
        <f>IFERROR(_xlfn.XLOOKUP(I403,Index!$A:$A,Index!$B:$B),"")</f>
        <v>6619</v>
      </c>
      <c r="K403"/>
      <c r="L403"/>
      <c r="M403"/>
      <c r="N403"/>
      <c r="O403"/>
      <c r="P403"/>
    </row>
    <row r="404" spans="1:16" s="1" customFormat="1" ht="12.75" customHeight="1" x14ac:dyDescent="0.25">
      <c r="A404" s="26"/>
      <c r="B404" s="26"/>
      <c r="C404" s="30"/>
      <c r="D404" s="35" t="s">
        <v>53</v>
      </c>
      <c r="E404" s="36">
        <v>8</v>
      </c>
      <c r="F404" s="37">
        <v>200</v>
      </c>
      <c r="G404" s="35">
        <v>190</v>
      </c>
      <c r="H404" s="40">
        <v>86.2</v>
      </c>
      <c r="I404" s="38" t="s">
        <v>874</v>
      </c>
      <c r="J404" s="34">
        <f>IFERROR(_xlfn.XLOOKUP(I404,Index!$A:$A,Index!$B:$B),"")</f>
        <v>6948</v>
      </c>
      <c r="K404"/>
      <c r="L404"/>
      <c r="M404"/>
      <c r="N404"/>
      <c r="O404"/>
      <c r="P404"/>
    </row>
    <row r="405" spans="1:16" s="1" customFormat="1" ht="12.75" customHeight="1" x14ac:dyDescent="0.25">
      <c r="A405" s="26"/>
      <c r="B405" s="26"/>
      <c r="C405" s="30"/>
      <c r="D405" s="35" t="s">
        <v>55</v>
      </c>
      <c r="E405" s="36">
        <v>8</v>
      </c>
      <c r="F405" s="37">
        <v>200</v>
      </c>
      <c r="G405" s="35">
        <v>190</v>
      </c>
      <c r="H405" s="40">
        <v>86.2</v>
      </c>
      <c r="I405" s="268" t="s">
        <v>5582</v>
      </c>
      <c r="J405" s="34">
        <f>IFERROR(_xlfn.XLOOKUP(I405,Index!$A:$A,Index!$B:$B),"")</f>
        <v>6948</v>
      </c>
      <c r="K405"/>
      <c r="L405"/>
      <c r="M405"/>
      <c r="N405"/>
      <c r="O405"/>
      <c r="P405"/>
    </row>
    <row r="406" spans="1:16" s="1" customFormat="1" ht="12.75" customHeight="1" x14ac:dyDescent="0.25">
      <c r="A406" s="26"/>
      <c r="B406" s="26"/>
      <c r="C406" s="30"/>
      <c r="D406" s="35" t="s">
        <v>241</v>
      </c>
      <c r="E406" s="36">
        <v>10</v>
      </c>
      <c r="F406" s="37">
        <v>250</v>
      </c>
      <c r="G406" s="35">
        <v>266</v>
      </c>
      <c r="H406" s="40">
        <v>120.7</v>
      </c>
      <c r="I406" s="38" t="s">
        <v>875</v>
      </c>
      <c r="J406" s="34">
        <f>IFERROR(_xlfn.XLOOKUP(I406,Index!$A:$A,Index!$B:$B),"")</f>
        <v>9886</v>
      </c>
      <c r="K406"/>
      <c r="L406"/>
      <c r="M406"/>
      <c r="N406"/>
      <c r="O406"/>
      <c r="P406"/>
    </row>
    <row r="407" spans="1:16" s="1" customFormat="1" ht="12.75" customHeight="1" x14ac:dyDescent="0.25">
      <c r="A407" s="26"/>
      <c r="B407" s="26"/>
      <c r="C407" s="30"/>
      <c r="D407" s="35" t="s">
        <v>53</v>
      </c>
      <c r="E407" s="36">
        <v>10</v>
      </c>
      <c r="F407" s="37">
        <v>250</v>
      </c>
      <c r="G407" s="35">
        <v>266</v>
      </c>
      <c r="H407" s="40">
        <v>120.7</v>
      </c>
      <c r="I407" s="38" t="s">
        <v>5542</v>
      </c>
      <c r="J407" s="34">
        <f>J406*1.05</f>
        <v>10380.300000000001</v>
      </c>
      <c r="K407"/>
      <c r="L407"/>
      <c r="M407"/>
      <c r="N407"/>
      <c r="O407"/>
      <c r="P407"/>
    </row>
    <row r="408" spans="1:16" s="1" customFormat="1" ht="12.75" customHeight="1" x14ac:dyDescent="0.25">
      <c r="A408" s="26"/>
      <c r="B408" s="26"/>
      <c r="C408" s="30"/>
      <c r="D408" s="35" t="s">
        <v>55</v>
      </c>
      <c r="E408" s="36">
        <v>10</v>
      </c>
      <c r="F408" s="37">
        <v>250</v>
      </c>
      <c r="G408" s="35">
        <v>266</v>
      </c>
      <c r="H408" s="40">
        <v>120.7</v>
      </c>
      <c r="I408" s="38" t="s">
        <v>5542</v>
      </c>
      <c r="J408" s="34">
        <f>J407</f>
        <v>10380.300000000001</v>
      </c>
      <c r="K408"/>
      <c r="L408"/>
      <c r="M408"/>
      <c r="N408"/>
      <c r="O408"/>
      <c r="P408"/>
    </row>
    <row r="409" spans="1:16" s="1" customFormat="1" ht="12.75" customHeight="1" x14ac:dyDescent="0.25">
      <c r="A409" s="26"/>
      <c r="B409" s="26"/>
      <c r="C409" s="30"/>
      <c r="D409" s="35" t="s">
        <v>241</v>
      </c>
      <c r="E409" s="36">
        <v>12</v>
      </c>
      <c r="F409" s="37">
        <v>300</v>
      </c>
      <c r="G409" s="35">
        <v>422</v>
      </c>
      <c r="H409" s="40">
        <v>191.4</v>
      </c>
      <c r="I409" s="38" t="s">
        <v>878</v>
      </c>
      <c r="J409" s="34">
        <f>IFERROR(_xlfn.XLOOKUP(I409,Index!$A:$A,Index!$B:$B),"")</f>
        <v>14585</v>
      </c>
      <c r="K409"/>
      <c r="L409"/>
      <c r="M409"/>
      <c r="N409"/>
      <c r="O409"/>
      <c r="P409"/>
    </row>
    <row r="410" spans="1:16" s="1" customFormat="1" ht="12.75" customHeight="1" x14ac:dyDescent="0.25">
      <c r="A410" s="26"/>
      <c r="B410" s="26"/>
      <c r="C410" s="30"/>
      <c r="D410" s="35" t="s">
        <v>53</v>
      </c>
      <c r="E410" s="36">
        <v>12</v>
      </c>
      <c r="F410" s="37">
        <v>300</v>
      </c>
      <c r="G410" s="35">
        <v>422</v>
      </c>
      <c r="H410" s="40">
        <v>191.4</v>
      </c>
      <c r="I410" s="38" t="s">
        <v>879</v>
      </c>
      <c r="J410" s="34">
        <f>IFERROR(_xlfn.XLOOKUP(I410,Index!$A:$A,Index!$B:$B),"")</f>
        <v>15314</v>
      </c>
      <c r="K410"/>
      <c r="L410"/>
      <c r="M410"/>
      <c r="N410"/>
      <c r="O410"/>
      <c r="P410"/>
    </row>
    <row r="411" spans="1:16" s="1" customFormat="1" ht="12.75" customHeight="1" x14ac:dyDescent="0.25">
      <c r="A411" s="26"/>
      <c r="B411" s="26"/>
      <c r="C411" s="30"/>
      <c r="D411" s="35" t="s">
        <v>55</v>
      </c>
      <c r="E411" s="36">
        <v>12</v>
      </c>
      <c r="F411" s="37">
        <v>300</v>
      </c>
      <c r="G411" s="35">
        <v>422</v>
      </c>
      <c r="H411" s="40">
        <v>191.4</v>
      </c>
      <c r="I411" s="38" t="s">
        <v>880</v>
      </c>
      <c r="J411" s="34">
        <f>IFERROR(_xlfn.XLOOKUP(I411,Index!$A:$A,Index!$B:$B),"")</f>
        <v>15314</v>
      </c>
      <c r="K411"/>
      <c r="L411"/>
      <c r="M411"/>
      <c r="N411"/>
      <c r="O411"/>
      <c r="P411"/>
    </row>
    <row r="412" spans="1:16" s="1" customFormat="1" ht="12.75" customHeight="1" x14ac:dyDescent="0.25">
      <c r="A412" s="26"/>
      <c r="B412" s="26"/>
      <c r="C412" s="30"/>
      <c r="D412" s="35" t="s">
        <v>241</v>
      </c>
      <c r="E412" s="36">
        <v>14</v>
      </c>
      <c r="F412" s="37">
        <v>350</v>
      </c>
      <c r="G412" s="35">
        <v>975</v>
      </c>
      <c r="H412" s="40">
        <v>442</v>
      </c>
      <c r="I412" s="38" t="s">
        <v>881</v>
      </c>
      <c r="J412" s="34">
        <f>IFERROR(_xlfn.XLOOKUP(I412,Index!$A:$A,Index!$B:$B),"")</f>
        <v>26460</v>
      </c>
      <c r="K412"/>
      <c r="L412"/>
      <c r="M412"/>
      <c r="N412"/>
      <c r="O412"/>
      <c r="P412"/>
    </row>
    <row r="413" spans="1:16" s="1" customFormat="1" ht="12.75" customHeight="1" x14ac:dyDescent="0.25">
      <c r="A413" s="26"/>
      <c r="B413" s="26"/>
      <c r="C413" s="30"/>
      <c r="D413" s="35" t="s">
        <v>53</v>
      </c>
      <c r="E413" s="36">
        <v>14</v>
      </c>
      <c r="F413" s="37">
        <v>350</v>
      </c>
      <c r="G413" s="35">
        <v>975</v>
      </c>
      <c r="H413" s="40">
        <v>442</v>
      </c>
      <c r="I413" s="268" t="s">
        <v>5583</v>
      </c>
      <c r="J413" s="34">
        <f>IFERROR(_xlfn.XLOOKUP(I413,Index!$A:$A,Index!$B:$B),"")</f>
        <v>27785</v>
      </c>
      <c r="K413"/>
      <c r="L413"/>
      <c r="M413"/>
      <c r="N413"/>
      <c r="O413"/>
      <c r="P413"/>
    </row>
    <row r="414" spans="1:16" s="1" customFormat="1" ht="12.75" customHeight="1" x14ac:dyDescent="0.25">
      <c r="A414" s="26"/>
      <c r="B414" s="26"/>
      <c r="C414" s="30"/>
      <c r="D414" s="35" t="s">
        <v>55</v>
      </c>
      <c r="E414" s="36">
        <v>14</v>
      </c>
      <c r="F414" s="37">
        <v>350</v>
      </c>
      <c r="G414" s="35">
        <v>975</v>
      </c>
      <c r="H414" s="40">
        <v>442</v>
      </c>
      <c r="I414" s="268" t="s">
        <v>5542</v>
      </c>
      <c r="J414" s="34">
        <f>J413</f>
        <v>27785</v>
      </c>
      <c r="K414"/>
      <c r="L414"/>
      <c r="M414"/>
      <c r="N414"/>
      <c r="O414"/>
      <c r="P414"/>
    </row>
    <row r="415" spans="1:16" s="1" customFormat="1" ht="12.75" customHeight="1" x14ac:dyDescent="0.25">
      <c r="A415" s="26"/>
      <c r="B415" s="26"/>
      <c r="C415" s="30"/>
      <c r="D415" s="35" t="s">
        <v>241</v>
      </c>
      <c r="E415" s="36">
        <v>16</v>
      </c>
      <c r="F415" s="37">
        <v>400</v>
      </c>
      <c r="G415" s="35">
        <v>1635</v>
      </c>
      <c r="H415" s="40">
        <v>741</v>
      </c>
      <c r="I415" s="38" t="s">
        <v>882</v>
      </c>
      <c r="J415" s="34">
        <f>IFERROR(_xlfn.XLOOKUP(I415,Index!$A:$A,Index!$B:$B),"")</f>
        <v>35985</v>
      </c>
      <c r="K415"/>
      <c r="L415"/>
      <c r="M415"/>
      <c r="N415"/>
      <c r="O415"/>
      <c r="P415"/>
    </row>
    <row r="416" spans="1:16" s="1" customFormat="1" ht="12.75" customHeight="1" x14ac:dyDescent="0.25">
      <c r="A416" s="26"/>
      <c r="B416" s="26"/>
      <c r="C416" s="30"/>
      <c r="D416" s="35" t="s">
        <v>53</v>
      </c>
      <c r="E416" s="36">
        <v>16</v>
      </c>
      <c r="F416" s="37">
        <v>400</v>
      </c>
      <c r="G416" s="35">
        <v>1635</v>
      </c>
      <c r="H416" s="40">
        <v>741</v>
      </c>
      <c r="I416" s="38" t="s">
        <v>2889</v>
      </c>
      <c r="J416" s="34">
        <f>IFERROR(_xlfn.XLOOKUP(I416,Index!$A:$A,Index!$B:$B),"")</f>
        <v>37786</v>
      </c>
      <c r="K416"/>
      <c r="L416"/>
      <c r="M416"/>
      <c r="N416"/>
      <c r="O416"/>
      <c r="P416"/>
    </row>
    <row r="417" spans="1:16" s="1" customFormat="1" ht="12.75" customHeight="1" x14ac:dyDescent="0.25">
      <c r="A417" s="26"/>
      <c r="B417" s="26"/>
      <c r="C417" s="30"/>
      <c r="D417" s="35" t="s">
        <v>55</v>
      </c>
      <c r="E417" s="36">
        <v>16</v>
      </c>
      <c r="F417" s="37">
        <v>400</v>
      </c>
      <c r="G417" s="35">
        <v>1635</v>
      </c>
      <c r="H417" s="40">
        <v>741</v>
      </c>
      <c r="I417" s="268" t="s">
        <v>5542</v>
      </c>
      <c r="J417" s="34">
        <f>J416</f>
        <v>37786</v>
      </c>
      <c r="K417"/>
      <c r="L417"/>
      <c r="M417"/>
      <c r="N417"/>
      <c r="O417"/>
      <c r="P417"/>
    </row>
    <row r="418" spans="1:16" s="1" customFormat="1" ht="12.75" customHeight="1" x14ac:dyDescent="0.25">
      <c r="A418" s="26"/>
      <c r="B418" s="26"/>
      <c r="C418" s="30"/>
      <c r="D418" s="35" t="s">
        <v>241</v>
      </c>
      <c r="E418" s="36">
        <v>18</v>
      </c>
      <c r="F418" s="37">
        <v>450</v>
      </c>
      <c r="G418" s="35">
        <v>2376</v>
      </c>
      <c r="H418" s="40">
        <v>1078</v>
      </c>
      <c r="I418" s="38" t="s">
        <v>883</v>
      </c>
      <c r="J418" s="34">
        <f>IFERROR(_xlfn.XLOOKUP(I418,Index!$A:$A,Index!$B:$B),"")</f>
        <v>48940</v>
      </c>
      <c r="K418"/>
      <c r="L418"/>
      <c r="M418"/>
      <c r="N418"/>
      <c r="O418"/>
      <c r="P418"/>
    </row>
    <row r="419" spans="1:16" s="1" customFormat="1" ht="12.75" customHeight="1" x14ac:dyDescent="0.25">
      <c r="A419" s="26"/>
      <c r="B419" s="26"/>
      <c r="C419" s="30"/>
      <c r="D419" s="35" t="s">
        <v>53</v>
      </c>
      <c r="E419" s="36">
        <v>18</v>
      </c>
      <c r="F419" s="37">
        <v>450</v>
      </c>
      <c r="G419" s="35">
        <v>2376</v>
      </c>
      <c r="H419" s="40">
        <v>1078</v>
      </c>
      <c r="I419" s="268" t="s">
        <v>5584</v>
      </c>
      <c r="J419" s="34">
        <f>IFERROR(_xlfn.XLOOKUP(I419,Index!$A:$A,Index!$B:$B),"")</f>
        <v>51449</v>
      </c>
      <c r="K419"/>
      <c r="L419"/>
      <c r="M419"/>
      <c r="N419"/>
      <c r="O419"/>
      <c r="P419"/>
    </row>
    <row r="420" spans="1:16" s="1" customFormat="1" ht="12.75" customHeight="1" x14ac:dyDescent="0.25">
      <c r="A420" s="27"/>
      <c r="B420" s="27"/>
      <c r="C420" s="31"/>
      <c r="D420" s="35" t="s">
        <v>55</v>
      </c>
      <c r="E420" s="36">
        <v>18</v>
      </c>
      <c r="F420" s="37">
        <v>450</v>
      </c>
      <c r="G420" s="35">
        <v>2376</v>
      </c>
      <c r="H420" s="40">
        <v>1078</v>
      </c>
      <c r="I420" s="268" t="s">
        <v>5542</v>
      </c>
      <c r="J420" s="34">
        <f>J419</f>
        <v>51449</v>
      </c>
      <c r="K420"/>
      <c r="L420"/>
      <c r="M420"/>
      <c r="N420"/>
      <c r="O420"/>
      <c r="P420"/>
    </row>
    <row r="421" spans="1:16" s="1" customFormat="1" ht="12.75" customHeight="1" x14ac:dyDescent="0.25">
      <c r="A421" s="12"/>
      <c r="B421" s="12"/>
      <c r="C421" s="4"/>
      <c r="D421" s="4"/>
      <c r="E421" s="5"/>
      <c r="F421" s="21"/>
      <c r="G421" s="4"/>
      <c r="H421" s="19"/>
      <c r="I421" s="19"/>
      <c r="J421" s="20"/>
      <c r="K421"/>
      <c r="L421"/>
      <c r="M421"/>
      <c r="N421"/>
      <c r="O421"/>
      <c r="P421"/>
    </row>
    <row r="422" spans="1:16" s="1" customFormat="1" ht="12.75" customHeight="1" x14ac:dyDescent="0.25">
      <c r="A422" s="12"/>
      <c r="B422" s="12"/>
      <c r="C422" s="4"/>
      <c r="D422" s="4"/>
      <c r="E422" s="5"/>
      <c r="F422" s="13"/>
      <c r="G422" s="4"/>
      <c r="H422" s="19"/>
      <c r="I422" s="19"/>
      <c r="J422" s="20"/>
      <c r="K422"/>
      <c r="L422"/>
      <c r="M422"/>
      <c r="N422"/>
      <c r="O422"/>
      <c r="P422"/>
    </row>
    <row r="423" spans="1:16" s="1" customFormat="1" ht="12.75" customHeight="1" x14ac:dyDescent="0.25">
      <c r="A423" s="18" t="s">
        <v>885</v>
      </c>
      <c r="B423" s="63" t="s">
        <v>647</v>
      </c>
      <c r="D423" s="49"/>
      <c r="E423" s="50"/>
      <c r="F423" s="51"/>
      <c r="G423" s="52"/>
      <c r="H423" s="53"/>
      <c r="I423" s="53"/>
      <c r="J423" s="54"/>
      <c r="K423"/>
      <c r="L423"/>
      <c r="M423"/>
      <c r="N423"/>
      <c r="O423"/>
      <c r="P423"/>
    </row>
    <row r="424" spans="1:16" s="1" customFormat="1" ht="15.75" x14ac:dyDescent="0.25">
      <c r="A424" s="48" t="s">
        <v>886</v>
      </c>
      <c r="B424" s="57"/>
      <c r="C424" s="58"/>
      <c r="D424" s="58"/>
      <c r="E424" s="59"/>
      <c r="F424" s="51"/>
      <c r="G424" s="58"/>
      <c r="H424" s="53"/>
      <c r="I424" s="53"/>
      <c r="J424" s="54"/>
      <c r="K424"/>
      <c r="L424"/>
      <c r="M424"/>
      <c r="N424"/>
      <c r="O424"/>
      <c r="P424"/>
    </row>
    <row r="425" spans="1:16" s="1" customFormat="1" x14ac:dyDescent="0.25">
      <c r="A425" s="25" t="s">
        <v>35</v>
      </c>
      <c r="B425" s="28" t="s">
        <v>36</v>
      </c>
      <c r="C425" s="333" t="s">
        <v>37</v>
      </c>
      <c r="D425" s="334"/>
      <c r="E425" s="335" t="s">
        <v>38</v>
      </c>
      <c r="F425" s="336"/>
      <c r="G425" s="335" t="s">
        <v>39</v>
      </c>
      <c r="H425" s="336"/>
      <c r="I425" s="42" t="s">
        <v>40</v>
      </c>
      <c r="J425" s="43" t="s">
        <v>41</v>
      </c>
      <c r="K425"/>
      <c r="L425"/>
      <c r="M425"/>
      <c r="N425"/>
      <c r="O425"/>
      <c r="P425"/>
    </row>
    <row r="426" spans="1:16" s="1" customFormat="1" ht="12.75" customHeight="1" x14ac:dyDescent="0.25">
      <c r="A426" s="32"/>
      <c r="B426" s="32"/>
      <c r="C426" s="33" t="s">
        <v>42</v>
      </c>
      <c r="D426" s="33" t="s">
        <v>43</v>
      </c>
      <c r="E426" s="33" t="s">
        <v>44</v>
      </c>
      <c r="F426" s="33" t="s">
        <v>45</v>
      </c>
      <c r="G426" s="33" t="s">
        <v>46</v>
      </c>
      <c r="H426" s="33" t="s">
        <v>47</v>
      </c>
      <c r="I426" s="33"/>
      <c r="J426" s="44"/>
      <c r="K426"/>
      <c r="L426"/>
      <c r="M426"/>
      <c r="N426"/>
      <c r="O426"/>
      <c r="P426"/>
    </row>
    <row r="427" spans="1:16" s="1" customFormat="1" ht="12.75" customHeight="1" x14ac:dyDescent="0.25">
      <c r="A427" s="26" t="s">
        <v>887</v>
      </c>
      <c r="B427" s="26" t="s">
        <v>841</v>
      </c>
      <c r="C427" s="30" t="s">
        <v>50</v>
      </c>
      <c r="D427" s="35" t="s">
        <v>176</v>
      </c>
      <c r="E427" s="36">
        <v>1</v>
      </c>
      <c r="F427" s="45">
        <v>25</v>
      </c>
      <c r="G427" s="35">
        <v>10.4</v>
      </c>
      <c r="H427" s="38">
        <v>4.5999999999999996</v>
      </c>
      <c r="I427" s="38" t="s">
        <v>888</v>
      </c>
      <c r="J427" s="34">
        <f>IFERROR(_xlfn.XLOOKUP(I427,Index!$A:$A,Index!$B:$B),"")</f>
        <v>1057</v>
      </c>
      <c r="K427" s="257"/>
      <c r="L427"/>
      <c r="M427"/>
      <c r="N427"/>
      <c r="O427"/>
      <c r="P427"/>
    </row>
    <row r="428" spans="1:16" s="1" customFormat="1" ht="12.75" customHeight="1" x14ac:dyDescent="0.25">
      <c r="A428" s="26"/>
      <c r="B428" s="26"/>
      <c r="C428" s="30"/>
      <c r="D428" s="35" t="s">
        <v>176</v>
      </c>
      <c r="E428" s="64">
        <v>1.25</v>
      </c>
      <c r="F428" s="45">
        <v>32</v>
      </c>
      <c r="G428" s="35">
        <v>9.8000000000000007</v>
      </c>
      <c r="H428" s="38">
        <v>4.4000000000000004</v>
      </c>
      <c r="I428" s="38" t="s">
        <v>5536</v>
      </c>
      <c r="J428" s="34">
        <f>J427+16</f>
        <v>1073</v>
      </c>
      <c r="K428" s="257"/>
      <c r="L428"/>
      <c r="M428"/>
      <c r="N428"/>
      <c r="O428"/>
      <c r="P428"/>
    </row>
    <row r="429" spans="1:16" s="1" customFormat="1" ht="12.75" customHeight="1" x14ac:dyDescent="0.25">
      <c r="A429" s="26"/>
      <c r="B429" s="26"/>
      <c r="C429" s="30"/>
      <c r="D429" s="35" t="s">
        <v>176</v>
      </c>
      <c r="E429" s="64">
        <v>1.5</v>
      </c>
      <c r="F429" s="45">
        <v>40</v>
      </c>
      <c r="G429" s="35">
        <v>12.5</v>
      </c>
      <c r="H429" s="38">
        <v>5.7</v>
      </c>
      <c r="I429" s="38" t="s">
        <v>889</v>
      </c>
      <c r="J429" s="34">
        <f>IFERROR(_xlfn.XLOOKUP(I429,Index!$A:$A,Index!$B:$B),"")</f>
        <v>1085</v>
      </c>
      <c r="K429" s="257"/>
      <c r="L429"/>
      <c r="M429"/>
      <c r="N429"/>
      <c r="O429"/>
      <c r="P429"/>
    </row>
    <row r="430" spans="1:16" s="1" customFormat="1" ht="12.75" customHeight="1" x14ac:dyDescent="0.25">
      <c r="A430" s="26"/>
      <c r="B430" s="26"/>
      <c r="C430" s="30"/>
      <c r="D430" s="35" t="s">
        <v>176</v>
      </c>
      <c r="E430" s="36">
        <v>2</v>
      </c>
      <c r="F430" s="45">
        <v>50</v>
      </c>
      <c r="G430" s="35">
        <v>16</v>
      </c>
      <c r="H430" s="38">
        <v>7.3</v>
      </c>
      <c r="I430" s="38" t="s">
        <v>890</v>
      </c>
      <c r="J430" s="34">
        <f>IFERROR(_xlfn.XLOOKUP(I430,Index!$A:$A,Index!$B:$B),"")</f>
        <v>1085</v>
      </c>
      <c r="K430" s="257"/>
      <c r="L430"/>
      <c r="M430"/>
      <c r="N430"/>
      <c r="O430"/>
      <c r="P430"/>
    </row>
    <row r="431" spans="1:16" s="1" customFormat="1" ht="12.75" customHeight="1" x14ac:dyDescent="0.25">
      <c r="A431" s="26"/>
      <c r="B431" s="26"/>
      <c r="C431" s="30"/>
      <c r="D431" s="35" t="s">
        <v>241</v>
      </c>
      <c r="E431" s="64">
        <v>2.5</v>
      </c>
      <c r="F431" s="45">
        <v>65</v>
      </c>
      <c r="G431" s="35">
        <v>27</v>
      </c>
      <c r="H431" s="38">
        <v>12.2</v>
      </c>
      <c r="I431" s="38" t="s">
        <v>891</v>
      </c>
      <c r="J431" s="34">
        <f>IFERROR(_xlfn.XLOOKUP(I431,Index!$A:$A,Index!$B:$B),"")</f>
        <v>1193</v>
      </c>
      <c r="K431" s="257"/>
      <c r="L431"/>
      <c r="M431"/>
      <c r="N431"/>
      <c r="O431"/>
      <c r="P431"/>
    </row>
    <row r="432" spans="1:16" s="1" customFormat="1" ht="12.75" customHeight="1" x14ac:dyDescent="0.25">
      <c r="A432" s="26"/>
      <c r="B432" s="26"/>
      <c r="C432" s="30"/>
      <c r="D432" s="35" t="s">
        <v>241</v>
      </c>
      <c r="E432" s="36">
        <v>3</v>
      </c>
      <c r="F432" s="45">
        <v>80</v>
      </c>
      <c r="G432" s="35">
        <v>30</v>
      </c>
      <c r="H432" s="38">
        <v>13.6</v>
      </c>
      <c r="I432" s="38" t="s">
        <v>892</v>
      </c>
      <c r="J432" s="34">
        <f>IFERROR(_xlfn.XLOOKUP(I432,Index!$A:$A,Index!$B:$B),"")</f>
        <v>1254</v>
      </c>
      <c r="K432" s="257"/>
      <c r="L432"/>
      <c r="M432"/>
      <c r="N432"/>
      <c r="O432"/>
      <c r="P432"/>
    </row>
    <row r="433" spans="1:16" s="1" customFormat="1" ht="12.75" customHeight="1" x14ac:dyDescent="0.25">
      <c r="A433" s="26"/>
      <c r="B433" s="26"/>
      <c r="C433" s="30"/>
      <c r="D433" s="35" t="s">
        <v>241</v>
      </c>
      <c r="E433" s="36">
        <v>4</v>
      </c>
      <c r="F433" s="45">
        <v>100</v>
      </c>
      <c r="G433" s="35">
        <v>51</v>
      </c>
      <c r="H433" s="38">
        <v>23</v>
      </c>
      <c r="I433" s="38" t="s">
        <v>893</v>
      </c>
      <c r="J433" s="34">
        <f>IFERROR(_xlfn.XLOOKUP(I433,Index!$A:$A,Index!$B:$B),"")</f>
        <v>2054</v>
      </c>
      <c r="K433" s="257"/>
      <c r="L433"/>
      <c r="M433"/>
      <c r="N433"/>
      <c r="O433"/>
      <c r="P433"/>
    </row>
    <row r="434" spans="1:16" s="1" customFormat="1" ht="12.75" customHeight="1" x14ac:dyDescent="0.25">
      <c r="A434" s="26"/>
      <c r="B434" s="26"/>
      <c r="C434" s="30"/>
      <c r="D434" s="35" t="s">
        <v>241</v>
      </c>
      <c r="E434" s="36">
        <v>6</v>
      </c>
      <c r="F434" s="45">
        <v>150</v>
      </c>
      <c r="G434" s="35">
        <v>109</v>
      </c>
      <c r="H434" s="38">
        <v>49.4</v>
      </c>
      <c r="I434" s="38" t="s">
        <v>894</v>
      </c>
      <c r="J434" s="34">
        <f>IFERROR(_xlfn.XLOOKUP(I434,Index!$A:$A,Index!$B:$B),"")</f>
        <v>3658</v>
      </c>
      <c r="K434" s="257"/>
      <c r="L434"/>
      <c r="M434"/>
      <c r="N434"/>
      <c r="O434"/>
      <c r="P434"/>
    </row>
    <row r="435" spans="1:16" s="1" customFormat="1" ht="12.75" customHeight="1" x14ac:dyDescent="0.25">
      <c r="A435" s="26"/>
      <c r="B435" s="26"/>
      <c r="C435" s="30"/>
      <c r="D435" s="35" t="s">
        <v>241</v>
      </c>
      <c r="E435" s="36">
        <v>8</v>
      </c>
      <c r="F435" s="45">
        <v>200</v>
      </c>
      <c r="G435" s="35">
        <v>190</v>
      </c>
      <c r="H435" s="38">
        <v>86.2</v>
      </c>
      <c r="I435" s="38" t="s">
        <v>895</v>
      </c>
      <c r="J435" s="34">
        <f>IFERROR(_xlfn.XLOOKUP(I435,Index!$A:$A,Index!$B:$B),"")</f>
        <v>6193</v>
      </c>
      <c r="K435" s="257"/>
      <c r="L435"/>
      <c r="M435"/>
      <c r="N435"/>
      <c r="O435"/>
      <c r="P435"/>
    </row>
    <row r="436" spans="1:16" s="1" customFormat="1" ht="12.75" customHeight="1" x14ac:dyDescent="0.25">
      <c r="A436" s="26"/>
      <c r="B436" s="26"/>
      <c r="C436" s="30"/>
      <c r="D436" s="35" t="s">
        <v>241</v>
      </c>
      <c r="E436" s="36">
        <v>10</v>
      </c>
      <c r="F436" s="45">
        <v>250</v>
      </c>
      <c r="G436" s="35">
        <v>266</v>
      </c>
      <c r="H436" s="38">
        <v>120.7</v>
      </c>
      <c r="I436" s="38" t="s">
        <v>896</v>
      </c>
      <c r="J436" s="34">
        <f>IFERROR(_xlfn.XLOOKUP(I436,Index!$A:$A,Index!$B:$B),"")</f>
        <v>9255</v>
      </c>
      <c r="K436" s="257"/>
      <c r="L436"/>
      <c r="M436"/>
      <c r="N436"/>
      <c r="O436"/>
      <c r="P436"/>
    </row>
    <row r="437" spans="1:16" s="1" customFormat="1" ht="12.75" customHeight="1" x14ac:dyDescent="0.25">
      <c r="A437" s="27"/>
      <c r="B437" s="27"/>
      <c r="C437" s="31"/>
      <c r="D437" s="35" t="s">
        <v>241</v>
      </c>
      <c r="E437" s="36">
        <v>12</v>
      </c>
      <c r="F437" s="45">
        <v>300</v>
      </c>
      <c r="G437" s="35">
        <v>422</v>
      </c>
      <c r="H437" s="38">
        <v>191.4</v>
      </c>
      <c r="I437" s="38" t="s">
        <v>897</v>
      </c>
      <c r="J437" s="34">
        <f>IFERROR(_xlfn.XLOOKUP(I437,Index!$A:$A,Index!$B:$B),"")</f>
        <v>13652</v>
      </c>
      <c r="K437" s="257"/>
      <c r="L437"/>
      <c r="M437"/>
      <c r="N437"/>
      <c r="O437"/>
      <c r="P437"/>
    </row>
    <row r="438" spans="1:16" s="1" customFormat="1" ht="12.75" customHeight="1" x14ac:dyDescent="0.25">
      <c r="A438" s="12"/>
      <c r="B438" s="12"/>
      <c r="C438" s="4"/>
      <c r="D438" s="4"/>
      <c r="E438" s="5"/>
      <c r="F438" s="13"/>
      <c r="G438" s="4"/>
      <c r="H438" s="19"/>
      <c r="I438" s="19"/>
      <c r="J438" s="20"/>
      <c r="K438"/>
      <c r="L438"/>
      <c r="M438"/>
      <c r="N438"/>
      <c r="O438"/>
      <c r="P438"/>
    </row>
    <row r="439" spans="1:16" s="1" customFormat="1" ht="15.75" x14ac:dyDescent="0.25">
      <c r="A439" s="47" t="s">
        <v>898</v>
      </c>
      <c r="B439" s="63" t="s">
        <v>647</v>
      </c>
      <c r="C439" s="14"/>
      <c r="D439" s="3"/>
      <c r="E439" s="8"/>
      <c r="F439" s="110"/>
      <c r="G439" s="111"/>
      <c r="H439" s="19"/>
      <c r="I439" s="19"/>
      <c r="J439" s="20"/>
      <c r="K439"/>
      <c r="L439"/>
      <c r="M439"/>
      <c r="N439"/>
      <c r="O439"/>
      <c r="P439"/>
    </row>
    <row r="440" spans="1:16" s="1" customFormat="1" ht="15.75" x14ac:dyDescent="0.25">
      <c r="A440" s="48" t="s">
        <v>899</v>
      </c>
      <c r="B440" s="11"/>
      <c r="C440" s="4"/>
      <c r="D440" s="4"/>
      <c r="E440" s="5"/>
      <c r="F440" s="110"/>
      <c r="G440" s="4"/>
      <c r="H440" s="19"/>
      <c r="I440" s="19"/>
      <c r="J440" s="20"/>
      <c r="K440"/>
      <c r="L440"/>
      <c r="M440"/>
      <c r="N440"/>
      <c r="O440"/>
      <c r="P440"/>
    </row>
    <row r="441" spans="1:16" s="1" customFormat="1" x14ac:dyDescent="0.25">
      <c r="A441" s="25" t="s">
        <v>35</v>
      </c>
      <c r="B441" s="28" t="s">
        <v>36</v>
      </c>
      <c r="C441" s="29" t="s">
        <v>37</v>
      </c>
      <c r="D441" s="22"/>
      <c r="E441" s="22" t="s">
        <v>38</v>
      </c>
      <c r="F441" s="22"/>
      <c r="G441" s="23" t="s">
        <v>39</v>
      </c>
      <c r="H441" s="23"/>
      <c r="I441" s="42" t="s">
        <v>40</v>
      </c>
      <c r="J441" s="24" t="s">
        <v>41</v>
      </c>
      <c r="K441"/>
      <c r="L441"/>
      <c r="M441"/>
      <c r="N441"/>
      <c r="O441"/>
      <c r="P441"/>
    </row>
    <row r="442" spans="1:16" s="1" customFormat="1" x14ac:dyDescent="0.25">
      <c r="A442" s="32"/>
      <c r="B442" s="32"/>
      <c r="C442" s="33" t="s">
        <v>42</v>
      </c>
      <c r="D442" s="33" t="s">
        <v>43</v>
      </c>
      <c r="E442" s="33" t="s">
        <v>44</v>
      </c>
      <c r="F442" s="33" t="s">
        <v>45</v>
      </c>
      <c r="G442" s="33" t="s">
        <v>46</v>
      </c>
      <c r="H442" s="39" t="s">
        <v>47</v>
      </c>
      <c r="I442" s="33"/>
      <c r="J442" s="41"/>
      <c r="K442"/>
      <c r="L442"/>
      <c r="M442"/>
      <c r="N442"/>
      <c r="O442"/>
      <c r="P442"/>
    </row>
    <row r="443" spans="1:16" s="1" customFormat="1" x14ac:dyDescent="0.25">
      <c r="A443" s="26" t="s">
        <v>900</v>
      </c>
      <c r="B443" s="26" t="s">
        <v>901</v>
      </c>
      <c r="C443" s="30" t="s">
        <v>50</v>
      </c>
      <c r="D443" s="35" t="s">
        <v>176</v>
      </c>
      <c r="E443" s="64">
        <v>0.5</v>
      </c>
      <c r="F443" s="98">
        <v>15</v>
      </c>
      <c r="G443" s="35">
        <v>3</v>
      </c>
      <c r="H443" s="40">
        <v>1.4</v>
      </c>
      <c r="I443" s="38" t="s">
        <v>902</v>
      </c>
      <c r="J443" s="34">
        <f>IFERROR(_xlfn.XLOOKUP(I443,Index!$A:$A,Index!$B:$B),"")</f>
        <v>1128</v>
      </c>
      <c r="K443"/>
      <c r="L443"/>
      <c r="M443"/>
      <c r="N443"/>
      <c r="O443"/>
      <c r="P443"/>
    </row>
    <row r="444" spans="1:16" s="1" customFormat="1" x14ac:dyDescent="0.25">
      <c r="A444" s="26"/>
      <c r="B444" s="26"/>
      <c r="C444" s="30"/>
      <c r="D444" s="35" t="s">
        <v>53</v>
      </c>
      <c r="E444" s="64">
        <v>0.5</v>
      </c>
      <c r="F444" s="98">
        <v>15</v>
      </c>
      <c r="G444" s="35">
        <v>3</v>
      </c>
      <c r="H444" s="40">
        <v>1.4</v>
      </c>
      <c r="I444" s="268" t="s">
        <v>5586</v>
      </c>
      <c r="J444" s="34">
        <f>IFERROR(_xlfn.XLOOKUP(I444,Index!$A:$A,Index!$B:$B),"")</f>
        <v>1183</v>
      </c>
      <c r="K444"/>
      <c r="L444"/>
      <c r="M444"/>
      <c r="N444"/>
      <c r="O444"/>
      <c r="P444"/>
    </row>
    <row r="445" spans="1:16" s="1" customFormat="1" x14ac:dyDescent="0.25">
      <c r="A445" s="26"/>
      <c r="B445" s="26"/>
      <c r="C445" s="30"/>
      <c r="D445" s="35" t="s">
        <v>55</v>
      </c>
      <c r="E445" s="64">
        <v>0.5</v>
      </c>
      <c r="F445" s="98">
        <v>15</v>
      </c>
      <c r="G445" s="35">
        <v>3</v>
      </c>
      <c r="H445" s="40">
        <v>1.4</v>
      </c>
      <c r="I445" s="268" t="s">
        <v>5587</v>
      </c>
      <c r="J445" s="34">
        <f>IFERROR(_xlfn.XLOOKUP(I445,Index!$A:$A,Index!$B:$B),"")</f>
        <v>1183</v>
      </c>
      <c r="K445"/>
      <c r="L445"/>
      <c r="M445"/>
      <c r="N445"/>
      <c r="O445"/>
      <c r="P445"/>
    </row>
    <row r="446" spans="1:16" s="1" customFormat="1" x14ac:dyDescent="0.25">
      <c r="A446" s="26"/>
      <c r="B446" s="26"/>
      <c r="C446" s="30"/>
      <c r="D446" s="35" t="s">
        <v>176</v>
      </c>
      <c r="E446" s="36" t="s">
        <v>217</v>
      </c>
      <c r="F446" s="98">
        <v>20</v>
      </c>
      <c r="G446" s="35">
        <v>9</v>
      </c>
      <c r="H446" s="40">
        <v>4.0999999999999996</v>
      </c>
      <c r="I446" s="268" t="s">
        <v>5542</v>
      </c>
      <c r="J446" s="34">
        <f>J445+58</f>
        <v>1241</v>
      </c>
      <c r="K446"/>
      <c r="L446"/>
      <c r="M446"/>
      <c r="N446"/>
      <c r="O446"/>
      <c r="P446"/>
    </row>
    <row r="447" spans="1:16" s="1" customFormat="1" x14ac:dyDescent="0.25">
      <c r="A447" s="26"/>
      <c r="B447" s="26"/>
      <c r="C447" s="30"/>
      <c r="D447" s="35" t="s">
        <v>53</v>
      </c>
      <c r="E447" s="36" t="s">
        <v>217</v>
      </c>
      <c r="F447" s="98">
        <v>20</v>
      </c>
      <c r="G447" s="35">
        <v>9</v>
      </c>
      <c r="H447" s="40">
        <v>4.0999999999999996</v>
      </c>
      <c r="I447" s="268" t="s">
        <v>5542</v>
      </c>
      <c r="J447" s="34">
        <f>J446+49</f>
        <v>1290</v>
      </c>
      <c r="K447"/>
      <c r="L447"/>
      <c r="M447"/>
      <c r="N447"/>
      <c r="O447"/>
      <c r="P447"/>
    </row>
    <row r="448" spans="1:16" s="1" customFormat="1" x14ac:dyDescent="0.25">
      <c r="A448" s="26"/>
      <c r="B448" s="26"/>
      <c r="C448" s="30"/>
      <c r="D448" s="35" t="s">
        <v>55</v>
      </c>
      <c r="E448" s="36" t="s">
        <v>217</v>
      </c>
      <c r="F448" s="98">
        <v>20</v>
      </c>
      <c r="G448" s="35">
        <v>9</v>
      </c>
      <c r="H448" s="40">
        <v>4.0999999999999996</v>
      </c>
      <c r="I448" s="268" t="s">
        <v>5542</v>
      </c>
      <c r="J448" s="34">
        <f>J447</f>
        <v>1290</v>
      </c>
      <c r="K448"/>
      <c r="L448"/>
      <c r="M448"/>
      <c r="N448"/>
      <c r="O448"/>
      <c r="P448"/>
    </row>
    <row r="449" spans="1:16" s="1" customFormat="1" x14ac:dyDescent="0.25">
      <c r="A449" s="26"/>
      <c r="B449" s="26"/>
      <c r="C449" s="30"/>
      <c r="D449" s="35" t="s">
        <v>176</v>
      </c>
      <c r="E449" s="36">
        <v>1</v>
      </c>
      <c r="F449" s="98">
        <v>25</v>
      </c>
      <c r="G449" s="35">
        <v>9</v>
      </c>
      <c r="H449" s="40">
        <v>4.0999999999999996</v>
      </c>
      <c r="I449" s="38" t="s">
        <v>903</v>
      </c>
      <c r="J449" s="34">
        <f>IFERROR(_xlfn.XLOOKUP(I449,Index!$A:$A,Index!$B:$B),"")</f>
        <v>1301</v>
      </c>
      <c r="K449"/>
      <c r="L449"/>
      <c r="M449"/>
      <c r="N449"/>
      <c r="O449"/>
      <c r="P449"/>
    </row>
    <row r="450" spans="1:16" s="1" customFormat="1" x14ac:dyDescent="0.25">
      <c r="A450" s="26"/>
      <c r="B450" s="26"/>
      <c r="C450" s="30"/>
      <c r="D450" s="35" t="s">
        <v>53</v>
      </c>
      <c r="E450" s="36">
        <v>1</v>
      </c>
      <c r="F450" s="98">
        <v>25</v>
      </c>
      <c r="G450" s="35">
        <v>9</v>
      </c>
      <c r="H450" s="40">
        <v>4.0999999999999996</v>
      </c>
      <c r="I450" s="268" t="s">
        <v>5588</v>
      </c>
      <c r="J450" s="34">
        <f>IFERROR(_xlfn.XLOOKUP(I450,Index!$A:$A,Index!$B:$B),"")</f>
        <v>1367</v>
      </c>
      <c r="K450"/>
      <c r="L450"/>
      <c r="M450"/>
      <c r="N450"/>
      <c r="O450"/>
      <c r="P450"/>
    </row>
    <row r="451" spans="1:16" s="1" customFormat="1" x14ac:dyDescent="0.25">
      <c r="A451" s="26"/>
      <c r="B451" s="26"/>
      <c r="C451" s="30"/>
      <c r="D451" s="35" t="s">
        <v>55</v>
      </c>
      <c r="E451" s="36">
        <v>1</v>
      </c>
      <c r="F451" s="98">
        <v>25</v>
      </c>
      <c r="G451" s="35">
        <v>9</v>
      </c>
      <c r="H451" s="40">
        <v>4.0999999999999996</v>
      </c>
      <c r="I451" s="38" t="s">
        <v>5542</v>
      </c>
      <c r="J451" s="34">
        <f>J450</f>
        <v>1367</v>
      </c>
      <c r="K451"/>
      <c r="L451"/>
      <c r="M451"/>
      <c r="N451"/>
      <c r="O451"/>
      <c r="P451"/>
    </row>
    <row r="452" spans="1:16" s="1" customFormat="1" x14ac:dyDescent="0.25">
      <c r="A452" s="26"/>
      <c r="B452" s="26"/>
      <c r="C452" s="30"/>
      <c r="D452" s="35" t="s">
        <v>176</v>
      </c>
      <c r="E452" s="36" t="s">
        <v>223</v>
      </c>
      <c r="F452" s="98">
        <v>32</v>
      </c>
      <c r="G452" s="35">
        <v>12</v>
      </c>
      <c r="H452" s="40">
        <v>5.4</v>
      </c>
      <c r="I452" s="268" t="s">
        <v>5542</v>
      </c>
      <c r="J452" s="34">
        <f>J449</f>
        <v>1301</v>
      </c>
      <c r="K452"/>
      <c r="L452"/>
      <c r="M452"/>
      <c r="N452"/>
      <c r="O452"/>
      <c r="P452"/>
    </row>
    <row r="453" spans="1:16" s="1" customFormat="1" x14ac:dyDescent="0.25">
      <c r="A453" s="26"/>
      <c r="B453" s="26"/>
      <c r="C453" s="30"/>
      <c r="D453" s="35" t="s">
        <v>53</v>
      </c>
      <c r="E453" s="36" t="s">
        <v>223</v>
      </c>
      <c r="F453" s="98">
        <v>32</v>
      </c>
      <c r="G453" s="35">
        <v>12</v>
      </c>
      <c r="H453" s="40">
        <v>5.4</v>
      </c>
      <c r="I453" s="268" t="s">
        <v>5542</v>
      </c>
      <c r="J453" s="34">
        <f>J451</f>
        <v>1367</v>
      </c>
      <c r="K453"/>
      <c r="L453"/>
      <c r="M453"/>
      <c r="N453"/>
      <c r="O453"/>
      <c r="P453"/>
    </row>
    <row r="454" spans="1:16" s="1" customFormat="1" x14ac:dyDescent="0.25">
      <c r="A454" s="26"/>
      <c r="B454" s="26"/>
      <c r="C454" s="30"/>
      <c r="D454" s="35" t="s">
        <v>55</v>
      </c>
      <c r="E454" s="36" t="s">
        <v>223</v>
      </c>
      <c r="F454" s="98">
        <v>32</v>
      </c>
      <c r="G454" s="35">
        <v>12</v>
      </c>
      <c r="H454" s="40">
        <v>5.4</v>
      </c>
      <c r="I454" s="268" t="s">
        <v>5542</v>
      </c>
      <c r="J454" s="34">
        <f>J451</f>
        <v>1367</v>
      </c>
      <c r="K454"/>
      <c r="L454"/>
      <c r="M454"/>
      <c r="N454"/>
      <c r="O454"/>
      <c r="P454"/>
    </row>
    <row r="455" spans="1:16" s="1" customFormat="1" x14ac:dyDescent="0.25">
      <c r="A455" s="26"/>
      <c r="B455" s="26"/>
      <c r="C455" s="30"/>
      <c r="D455" s="35" t="s">
        <v>176</v>
      </c>
      <c r="E455" s="36" t="s">
        <v>225</v>
      </c>
      <c r="F455" s="98">
        <v>40</v>
      </c>
      <c r="G455" s="35">
        <v>13</v>
      </c>
      <c r="H455" s="40">
        <v>5.9</v>
      </c>
      <c r="I455" s="38" t="s">
        <v>905</v>
      </c>
      <c r="J455" s="34">
        <f>IFERROR(_xlfn.XLOOKUP(I455,Index!$A:$A,Index!$B:$B),"")</f>
        <v>1348</v>
      </c>
      <c r="K455"/>
      <c r="L455"/>
      <c r="M455"/>
      <c r="N455"/>
      <c r="O455"/>
      <c r="P455"/>
    </row>
    <row r="456" spans="1:16" s="1" customFormat="1" x14ac:dyDescent="0.25">
      <c r="A456" s="26"/>
      <c r="B456" s="26"/>
      <c r="C456" s="30"/>
      <c r="D456" s="35" t="s">
        <v>53</v>
      </c>
      <c r="E456" s="36" t="s">
        <v>225</v>
      </c>
      <c r="F456" s="98">
        <v>40</v>
      </c>
      <c r="G456" s="35">
        <v>13</v>
      </c>
      <c r="H456" s="40">
        <v>5.9</v>
      </c>
      <c r="I456" s="268" t="s">
        <v>5589</v>
      </c>
      <c r="J456" s="34">
        <f>IFERROR(_xlfn.XLOOKUP(I456,Index!$A:$A,Index!$B:$B),"")</f>
        <v>1416</v>
      </c>
      <c r="K456"/>
      <c r="L456"/>
      <c r="M456"/>
      <c r="N456"/>
      <c r="O456"/>
      <c r="P456"/>
    </row>
    <row r="457" spans="1:16" s="1" customFormat="1" x14ac:dyDescent="0.25">
      <c r="A457" s="26"/>
      <c r="B457" s="26"/>
      <c r="C457" s="30"/>
      <c r="D457" s="35" t="s">
        <v>55</v>
      </c>
      <c r="E457" s="36" t="s">
        <v>225</v>
      </c>
      <c r="F457" s="98">
        <v>40</v>
      </c>
      <c r="G457" s="35">
        <v>13</v>
      </c>
      <c r="H457" s="40">
        <v>5.9</v>
      </c>
      <c r="I457" s="268" t="s">
        <v>5590</v>
      </c>
      <c r="J457" s="34">
        <f>IFERROR(_xlfn.XLOOKUP(I457,Index!$A:$A,Index!$B:$B),"")</f>
        <v>1416</v>
      </c>
      <c r="K457"/>
      <c r="L457"/>
      <c r="M457"/>
      <c r="N457"/>
      <c r="O457"/>
      <c r="P457"/>
    </row>
    <row r="458" spans="1:16" s="1" customFormat="1" x14ac:dyDescent="0.25">
      <c r="A458" s="26"/>
      <c r="B458" s="26"/>
      <c r="C458" s="30"/>
      <c r="D458" s="35" t="s">
        <v>176</v>
      </c>
      <c r="E458" s="36">
        <v>2</v>
      </c>
      <c r="F458" s="98">
        <v>50</v>
      </c>
      <c r="G458" s="35">
        <v>10</v>
      </c>
      <c r="H458" s="40">
        <v>4.5</v>
      </c>
      <c r="I458" s="38" t="s">
        <v>906</v>
      </c>
      <c r="J458" s="34">
        <f>IFERROR(_xlfn.XLOOKUP(I458,Index!$A:$A,Index!$B:$B),"")</f>
        <v>1348</v>
      </c>
      <c r="K458"/>
      <c r="L458"/>
      <c r="M458"/>
      <c r="N458"/>
      <c r="O458"/>
      <c r="P458"/>
    </row>
    <row r="459" spans="1:16" s="1" customFormat="1" x14ac:dyDescent="0.25">
      <c r="A459" s="26"/>
      <c r="B459" s="26"/>
      <c r="C459" s="30"/>
      <c r="D459" s="35" t="s">
        <v>53</v>
      </c>
      <c r="E459" s="36">
        <v>2</v>
      </c>
      <c r="F459" s="98">
        <v>50</v>
      </c>
      <c r="G459" s="35">
        <v>10</v>
      </c>
      <c r="H459" s="40">
        <v>4.5</v>
      </c>
      <c r="I459" s="38" t="s">
        <v>907</v>
      </c>
      <c r="J459" s="34">
        <f>IFERROR(_xlfn.XLOOKUP(I459,Index!$A:$A,Index!$B:$B),"")</f>
        <v>1416</v>
      </c>
      <c r="K459"/>
      <c r="L459"/>
      <c r="M459"/>
      <c r="N459"/>
      <c r="O459"/>
      <c r="P459"/>
    </row>
    <row r="460" spans="1:16" s="1" customFormat="1" x14ac:dyDescent="0.25">
      <c r="A460" s="26"/>
      <c r="B460" s="26"/>
      <c r="C460" s="30"/>
      <c r="D460" s="35" t="s">
        <v>55</v>
      </c>
      <c r="E460" s="36">
        <v>2</v>
      </c>
      <c r="F460" s="98">
        <v>50</v>
      </c>
      <c r="G460" s="35">
        <v>10</v>
      </c>
      <c r="H460" s="40">
        <v>4.5</v>
      </c>
      <c r="I460" s="38" t="s">
        <v>908</v>
      </c>
      <c r="J460" s="34">
        <f>IFERROR(_xlfn.XLOOKUP(I460,Index!$A:$A,Index!$B:$B),"")</f>
        <v>1416</v>
      </c>
      <c r="K460"/>
      <c r="L460"/>
      <c r="M460"/>
      <c r="N460"/>
      <c r="O460"/>
      <c r="P460"/>
    </row>
    <row r="461" spans="1:16" s="1" customFormat="1" x14ac:dyDescent="0.25">
      <c r="A461" s="26"/>
      <c r="B461" s="26"/>
      <c r="C461" s="30"/>
      <c r="D461" s="35" t="s">
        <v>176</v>
      </c>
      <c r="E461" s="36" t="s">
        <v>231</v>
      </c>
      <c r="F461" s="98">
        <v>65</v>
      </c>
      <c r="G461" s="35">
        <v>14</v>
      </c>
      <c r="H461" s="40">
        <v>6.4</v>
      </c>
      <c r="I461" s="38" t="s">
        <v>909</v>
      </c>
      <c r="J461" s="34">
        <f>IFERROR(_xlfn.XLOOKUP(I461,Index!$A:$A,Index!$B:$B),"")</f>
        <v>1528</v>
      </c>
      <c r="K461"/>
      <c r="L461"/>
      <c r="M461"/>
      <c r="N461"/>
      <c r="O461"/>
      <c r="P461"/>
    </row>
    <row r="462" spans="1:16" s="1" customFormat="1" x14ac:dyDescent="0.25">
      <c r="A462" s="26"/>
      <c r="B462" s="26"/>
      <c r="C462" s="30"/>
      <c r="D462" s="35" t="s">
        <v>53</v>
      </c>
      <c r="E462" s="36" t="s">
        <v>231</v>
      </c>
      <c r="F462" s="98">
        <v>65</v>
      </c>
      <c r="G462" s="35">
        <v>14</v>
      </c>
      <c r="H462" s="40">
        <v>6.4</v>
      </c>
      <c r="I462" s="38" t="s">
        <v>910</v>
      </c>
      <c r="J462" s="34">
        <f>IFERROR(_xlfn.XLOOKUP(I462,Index!$A:$A,Index!$B:$B),"")</f>
        <v>1605</v>
      </c>
      <c r="K462"/>
      <c r="L462"/>
      <c r="M462"/>
      <c r="N462"/>
      <c r="O462"/>
      <c r="P462"/>
    </row>
    <row r="463" spans="1:16" s="1" customFormat="1" x14ac:dyDescent="0.25">
      <c r="A463" s="26"/>
      <c r="B463" s="26"/>
      <c r="C463" s="30"/>
      <c r="D463" s="35" t="s">
        <v>55</v>
      </c>
      <c r="E463" s="36" t="s">
        <v>231</v>
      </c>
      <c r="F463" s="98">
        <v>65</v>
      </c>
      <c r="G463" s="35">
        <v>14</v>
      </c>
      <c r="H463" s="40">
        <v>6.4</v>
      </c>
      <c r="I463" s="268" t="s">
        <v>5591</v>
      </c>
      <c r="J463" s="34">
        <f>J462</f>
        <v>1605</v>
      </c>
      <c r="K463"/>
      <c r="L463"/>
      <c r="M463"/>
      <c r="N463"/>
      <c r="O463"/>
      <c r="P463"/>
    </row>
    <row r="464" spans="1:16" s="1" customFormat="1" x14ac:dyDescent="0.25">
      <c r="A464" s="26"/>
      <c r="B464" s="26"/>
      <c r="C464" s="30"/>
      <c r="D464" s="35" t="s">
        <v>176</v>
      </c>
      <c r="E464" s="36">
        <v>3</v>
      </c>
      <c r="F464" s="98">
        <v>80</v>
      </c>
      <c r="G464" s="35">
        <v>21</v>
      </c>
      <c r="H464" s="40">
        <v>9.5</v>
      </c>
      <c r="I464" s="38" t="s">
        <v>911</v>
      </c>
      <c r="J464" s="34">
        <f>IFERROR(_xlfn.XLOOKUP(I464,Index!$A:$A,Index!$B:$B),"")</f>
        <v>1610</v>
      </c>
      <c r="K464"/>
      <c r="L464"/>
      <c r="M464"/>
      <c r="N464"/>
      <c r="O464"/>
      <c r="P464"/>
    </row>
    <row r="465" spans="1:16" s="1" customFormat="1" x14ac:dyDescent="0.25">
      <c r="A465" s="26"/>
      <c r="B465" s="26"/>
      <c r="C465" s="30"/>
      <c r="D465" s="35" t="s">
        <v>53</v>
      </c>
      <c r="E465" s="36">
        <v>3</v>
      </c>
      <c r="F465" s="98">
        <v>80</v>
      </c>
      <c r="G465" s="35">
        <v>21</v>
      </c>
      <c r="H465" s="40">
        <v>9.5</v>
      </c>
      <c r="I465" s="38" t="s">
        <v>912</v>
      </c>
      <c r="J465" s="34">
        <f>IFERROR(_xlfn.XLOOKUP(I465,Index!$A:$A,Index!$B:$B),"")</f>
        <v>1690</v>
      </c>
      <c r="K465"/>
      <c r="L465"/>
      <c r="M465"/>
      <c r="N465"/>
      <c r="O465"/>
      <c r="P465"/>
    </row>
    <row r="466" spans="1:16" s="1" customFormat="1" x14ac:dyDescent="0.25">
      <c r="A466" s="26"/>
      <c r="B466" s="26"/>
      <c r="C466" s="30"/>
      <c r="D466" s="35" t="s">
        <v>55</v>
      </c>
      <c r="E466" s="36">
        <v>3</v>
      </c>
      <c r="F466" s="98">
        <v>80</v>
      </c>
      <c r="G466" s="35">
        <v>21</v>
      </c>
      <c r="H466" s="40">
        <v>9.5</v>
      </c>
      <c r="I466" s="38" t="s">
        <v>913</v>
      </c>
      <c r="J466" s="34">
        <f>IFERROR(_xlfn.XLOOKUP(I466,Index!$A:$A,Index!$B:$B),"")</f>
        <v>1690</v>
      </c>
      <c r="K466"/>
      <c r="L466"/>
      <c r="M466"/>
      <c r="N466"/>
      <c r="O466"/>
      <c r="P466"/>
    </row>
    <row r="467" spans="1:16" s="1" customFormat="1" x14ac:dyDescent="0.25">
      <c r="A467" s="26"/>
      <c r="B467" s="26"/>
      <c r="C467" s="30"/>
      <c r="D467" s="35" t="s">
        <v>176</v>
      </c>
      <c r="E467" s="36">
        <v>4</v>
      </c>
      <c r="F467" s="98">
        <v>100</v>
      </c>
      <c r="G467" s="35">
        <v>42</v>
      </c>
      <c r="H467" s="40">
        <v>19.100000000000001</v>
      </c>
      <c r="I467" s="38" t="s">
        <v>914</v>
      </c>
      <c r="J467" s="34">
        <f>IFERROR(_xlfn.XLOOKUP(I467,Index!$A:$A,Index!$B:$B),"")</f>
        <v>2749</v>
      </c>
      <c r="K467"/>
      <c r="L467"/>
      <c r="M467"/>
      <c r="N467"/>
      <c r="O467"/>
      <c r="P467"/>
    </row>
    <row r="468" spans="1:16" s="1" customFormat="1" x14ac:dyDescent="0.25">
      <c r="A468" s="26"/>
      <c r="B468" s="26"/>
      <c r="C468" s="30"/>
      <c r="D468" s="35" t="s">
        <v>53</v>
      </c>
      <c r="E468" s="36">
        <v>4</v>
      </c>
      <c r="F468" s="98">
        <v>100</v>
      </c>
      <c r="G468" s="35">
        <v>42</v>
      </c>
      <c r="H468" s="40">
        <v>19.100000000000001</v>
      </c>
      <c r="I468" s="38" t="s">
        <v>915</v>
      </c>
      <c r="J468" s="34">
        <f>IFERROR(_xlfn.XLOOKUP(I468,Index!$A:$A,Index!$B:$B),"")</f>
        <v>2887</v>
      </c>
      <c r="K468"/>
      <c r="L468"/>
      <c r="M468"/>
      <c r="N468"/>
      <c r="O468"/>
      <c r="P468"/>
    </row>
    <row r="469" spans="1:16" s="1" customFormat="1" x14ac:dyDescent="0.25">
      <c r="A469" s="26"/>
      <c r="B469" s="26"/>
      <c r="C469" s="30"/>
      <c r="D469" s="35" t="s">
        <v>55</v>
      </c>
      <c r="E469" s="36">
        <v>4</v>
      </c>
      <c r="F469" s="98">
        <v>100</v>
      </c>
      <c r="G469" s="35">
        <v>42</v>
      </c>
      <c r="H469" s="40">
        <v>19.100000000000001</v>
      </c>
      <c r="I469" s="268" t="s">
        <v>5592</v>
      </c>
      <c r="J469" s="34">
        <f>IFERROR(_xlfn.XLOOKUP(I469,Index!$A:$A,Index!$B:$B),"")</f>
        <v>2887</v>
      </c>
      <c r="K469"/>
      <c r="L469"/>
      <c r="M469"/>
      <c r="N469"/>
      <c r="O469"/>
      <c r="P469"/>
    </row>
    <row r="470" spans="1:16" s="1" customFormat="1" x14ac:dyDescent="0.25">
      <c r="A470" s="26"/>
      <c r="B470" s="26"/>
      <c r="C470" s="30"/>
      <c r="D470" s="35" t="s">
        <v>241</v>
      </c>
      <c r="E470" s="36">
        <v>6</v>
      </c>
      <c r="F470" s="98">
        <v>150</v>
      </c>
      <c r="G470" s="35">
        <v>115</v>
      </c>
      <c r="H470" s="40">
        <v>52.2</v>
      </c>
      <c r="I470" s="38" t="s">
        <v>916</v>
      </c>
      <c r="J470" s="34">
        <f>IFERROR(_xlfn.XLOOKUP(I470,Index!$A:$A,Index!$B:$B),"")</f>
        <v>4701</v>
      </c>
      <c r="K470"/>
      <c r="L470"/>
      <c r="M470"/>
      <c r="N470"/>
      <c r="O470"/>
      <c r="P470"/>
    </row>
    <row r="471" spans="1:16" s="1" customFormat="1" x14ac:dyDescent="0.25">
      <c r="A471" s="26"/>
      <c r="B471" s="26"/>
      <c r="C471" s="30"/>
      <c r="D471" s="35" t="s">
        <v>53</v>
      </c>
      <c r="E471" s="36">
        <v>6</v>
      </c>
      <c r="F471" s="98">
        <v>150</v>
      </c>
      <c r="G471" s="35">
        <v>115</v>
      </c>
      <c r="H471" s="40">
        <v>52.2</v>
      </c>
      <c r="I471" s="38" t="s">
        <v>917</v>
      </c>
      <c r="J471" s="34">
        <f>IFERROR(_xlfn.XLOOKUP(I471,Index!$A:$A,Index!$B:$B),"")</f>
        <v>4938</v>
      </c>
      <c r="K471"/>
      <c r="L471"/>
      <c r="M471"/>
      <c r="N471"/>
      <c r="O471"/>
      <c r="P471"/>
    </row>
    <row r="472" spans="1:16" s="1" customFormat="1" x14ac:dyDescent="0.25">
      <c r="A472" s="26"/>
      <c r="B472" s="26"/>
      <c r="C472" s="30"/>
      <c r="D472" s="35" t="s">
        <v>55</v>
      </c>
      <c r="E472" s="36">
        <v>6</v>
      </c>
      <c r="F472" s="98">
        <v>150</v>
      </c>
      <c r="G472" s="35">
        <v>115</v>
      </c>
      <c r="H472" s="40">
        <v>52.2</v>
      </c>
      <c r="I472" s="38" t="s">
        <v>918</v>
      </c>
      <c r="J472" s="34">
        <f>IFERROR(_xlfn.XLOOKUP(I472,Index!$A:$A,Index!$B:$B),"")</f>
        <v>4938</v>
      </c>
      <c r="K472"/>
      <c r="L472"/>
      <c r="M472"/>
      <c r="N472"/>
      <c r="O472"/>
      <c r="P472"/>
    </row>
    <row r="473" spans="1:16" s="1" customFormat="1" x14ac:dyDescent="0.25">
      <c r="A473" s="26"/>
      <c r="B473" s="26"/>
      <c r="C473" s="30"/>
      <c r="D473" s="35" t="s">
        <v>241</v>
      </c>
      <c r="E473" s="36">
        <v>8</v>
      </c>
      <c r="F473" s="98">
        <v>200</v>
      </c>
      <c r="G473" s="35">
        <v>180</v>
      </c>
      <c r="H473" s="40">
        <v>81.599999999999994</v>
      </c>
      <c r="I473" s="38" t="s">
        <v>919</v>
      </c>
      <c r="J473" s="34">
        <f>IFERROR(_xlfn.XLOOKUP(I473,Index!$A:$A,Index!$B:$B),"")</f>
        <v>7954</v>
      </c>
      <c r="K473"/>
      <c r="L473"/>
      <c r="M473"/>
      <c r="N473"/>
      <c r="O473"/>
      <c r="P473"/>
    </row>
    <row r="474" spans="1:16" s="1" customFormat="1" x14ac:dyDescent="0.25">
      <c r="A474" s="26"/>
      <c r="B474" s="26"/>
      <c r="C474" s="30"/>
      <c r="D474" s="35" t="s">
        <v>53</v>
      </c>
      <c r="E474" s="36">
        <v>8</v>
      </c>
      <c r="F474" s="98">
        <v>200</v>
      </c>
      <c r="G474" s="35">
        <v>180</v>
      </c>
      <c r="H474" s="40">
        <v>81.599999999999994</v>
      </c>
      <c r="I474" s="38" t="s">
        <v>920</v>
      </c>
      <c r="J474" s="34">
        <f>IFERROR(_xlfn.XLOOKUP(I474,Index!$A:$A,Index!$B:$B),"")</f>
        <v>8350</v>
      </c>
      <c r="K474"/>
      <c r="L474"/>
      <c r="M474"/>
      <c r="N474"/>
      <c r="O474"/>
      <c r="P474"/>
    </row>
    <row r="475" spans="1:16" s="1" customFormat="1" x14ac:dyDescent="0.25">
      <c r="A475" s="26"/>
      <c r="B475" s="26"/>
      <c r="C475" s="30"/>
      <c r="D475" s="35" t="s">
        <v>55</v>
      </c>
      <c r="E475" s="36">
        <v>8</v>
      </c>
      <c r="F475" s="98">
        <v>200</v>
      </c>
      <c r="G475" s="35">
        <v>180</v>
      </c>
      <c r="H475" s="40">
        <v>81.599999999999994</v>
      </c>
      <c r="I475" s="268" t="s">
        <v>5593</v>
      </c>
      <c r="J475" s="34">
        <f>IFERROR(_xlfn.XLOOKUP(I475,Index!$A:$A,Index!$B:$B),"")</f>
        <v>8350</v>
      </c>
      <c r="K475"/>
      <c r="L475"/>
      <c r="M475"/>
      <c r="N475"/>
      <c r="O475"/>
      <c r="P475"/>
    </row>
    <row r="476" spans="1:16" s="1" customFormat="1" x14ac:dyDescent="0.25">
      <c r="A476" s="26"/>
      <c r="B476" s="26"/>
      <c r="C476" s="30"/>
      <c r="D476" s="35" t="s">
        <v>241</v>
      </c>
      <c r="E476" s="36">
        <v>10</v>
      </c>
      <c r="F476" s="98">
        <v>250</v>
      </c>
      <c r="G476" s="35">
        <v>290</v>
      </c>
      <c r="H476" s="40">
        <v>131.5</v>
      </c>
      <c r="I476" s="38" t="s">
        <v>921</v>
      </c>
      <c r="J476" s="34">
        <f>IFERROR(_xlfn.XLOOKUP(I476,Index!$A:$A,Index!$B:$B),"")</f>
        <v>11909</v>
      </c>
      <c r="K476"/>
      <c r="L476"/>
      <c r="M476"/>
      <c r="N476"/>
      <c r="O476"/>
      <c r="P476"/>
    </row>
    <row r="477" spans="1:16" s="1" customFormat="1" x14ac:dyDescent="0.25">
      <c r="A477" s="26"/>
      <c r="B477" s="26"/>
      <c r="C477" s="30"/>
      <c r="D477" s="35" t="s">
        <v>53</v>
      </c>
      <c r="E477" s="36">
        <v>10</v>
      </c>
      <c r="F477" s="98">
        <v>250</v>
      </c>
      <c r="G477" s="35">
        <v>290</v>
      </c>
      <c r="H477" s="40">
        <v>131.5</v>
      </c>
      <c r="I477" s="38" t="s">
        <v>5542</v>
      </c>
      <c r="J477" s="34">
        <f>J478</f>
        <v>12505</v>
      </c>
      <c r="K477"/>
      <c r="L477"/>
      <c r="M477"/>
      <c r="N477"/>
      <c r="O477"/>
      <c r="P477"/>
    </row>
    <row r="478" spans="1:16" s="1" customFormat="1" x14ac:dyDescent="0.25">
      <c r="A478" s="26"/>
      <c r="B478" s="26"/>
      <c r="C478" s="30"/>
      <c r="D478" s="35" t="s">
        <v>55</v>
      </c>
      <c r="E478" s="36">
        <v>10</v>
      </c>
      <c r="F478" s="98">
        <v>250</v>
      </c>
      <c r="G478" s="35">
        <v>290</v>
      </c>
      <c r="H478" s="40">
        <v>131.5</v>
      </c>
      <c r="I478" s="268" t="s">
        <v>5594</v>
      </c>
      <c r="J478" s="34">
        <f>IFERROR(_xlfn.XLOOKUP(I478,Index!$A:$A,Index!$B:$B),"")</f>
        <v>12505</v>
      </c>
      <c r="K478"/>
      <c r="L478"/>
      <c r="M478"/>
      <c r="N478"/>
      <c r="O478"/>
      <c r="P478"/>
    </row>
    <row r="479" spans="1:16" s="1" customFormat="1" x14ac:dyDescent="0.25">
      <c r="A479" s="26"/>
      <c r="B479" s="26"/>
      <c r="C479" s="30"/>
      <c r="D479" s="35" t="s">
        <v>241</v>
      </c>
      <c r="E479" s="36">
        <v>12</v>
      </c>
      <c r="F479" s="98">
        <v>300</v>
      </c>
      <c r="G479" s="35">
        <v>460</v>
      </c>
      <c r="H479" s="40">
        <v>208.7</v>
      </c>
      <c r="I479" s="38" t="s">
        <v>923</v>
      </c>
      <c r="J479" s="34">
        <f>IFERROR(_xlfn.XLOOKUP(I479,Index!$A:$A,Index!$B:$B),"")</f>
        <v>17534</v>
      </c>
      <c r="K479"/>
      <c r="L479"/>
      <c r="M479"/>
      <c r="N479"/>
      <c r="O479"/>
      <c r="P479"/>
    </row>
    <row r="480" spans="1:16" s="1" customFormat="1" x14ac:dyDescent="0.25">
      <c r="A480" s="26"/>
      <c r="B480" s="26"/>
      <c r="C480" s="30"/>
      <c r="D480" s="35" t="s">
        <v>53</v>
      </c>
      <c r="E480" s="36">
        <v>12</v>
      </c>
      <c r="F480" s="98">
        <v>300</v>
      </c>
      <c r="G480" s="35">
        <v>460</v>
      </c>
      <c r="H480" s="40">
        <v>208.7</v>
      </c>
      <c r="I480" s="268" t="s">
        <v>5595</v>
      </c>
      <c r="J480" s="34">
        <f>IFERROR(_xlfn.XLOOKUP(I480,Index!$A:$A,Index!$B:$B),"")</f>
        <v>18410</v>
      </c>
      <c r="K480"/>
      <c r="L480"/>
      <c r="M480"/>
      <c r="N480"/>
      <c r="O480"/>
      <c r="P480"/>
    </row>
    <row r="481" spans="1:16" s="1" customFormat="1" x14ac:dyDescent="0.25">
      <c r="A481" s="27"/>
      <c r="B481" s="27"/>
      <c r="C481" s="31"/>
      <c r="D481" s="35" t="s">
        <v>55</v>
      </c>
      <c r="E481" s="36">
        <v>12</v>
      </c>
      <c r="F481" s="98">
        <v>300</v>
      </c>
      <c r="G481" s="35">
        <v>460</v>
      </c>
      <c r="H481" s="40">
        <v>208.7</v>
      </c>
      <c r="I481" s="268" t="s">
        <v>5596</v>
      </c>
      <c r="J481" s="34">
        <f>IFERROR(_xlfn.XLOOKUP(I481,Index!$A:$A,Index!$B:$B),"")</f>
        <v>18410</v>
      </c>
      <c r="K481"/>
      <c r="L481"/>
      <c r="M481"/>
      <c r="N481"/>
      <c r="O481"/>
      <c r="P481"/>
    </row>
    <row r="482" spans="1:16" s="1" customFormat="1" x14ac:dyDescent="0.25">
      <c r="A482" s="12"/>
      <c r="B482" s="12"/>
      <c r="C482" s="4"/>
      <c r="D482" s="4"/>
      <c r="E482" s="5"/>
      <c r="F482" s="112"/>
      <c r="G482" s="4"/>
      <c r="H482" s="19"/>
      <c r="I482" s="19"/>
      <c r="J482" s="20"/>
      <c r="K482"/>
      <c r="L482"/>
      <c r="M482"/>
      <c r="N482"/>
      <c r="O482"/>
      <c r="P482"/>
    </row>
    <row r="483" spans="1:16" s="264" customFormat="1" ht="15.75" x14ac:dyDescent="0.25">
      <c r="A483" s="217" t="s">
        <v>924</v>
      </c>
      <c r="B483" s="47"/>
      <c r="C483" s="270"/>
      <c r="D483" s="258"/>
      <c r="E483" s="259"/>
      <c r="F483" s="260"/>
      <c r="G483" s="261"/>
      <c r="H483" s="262"/>
      <c r="I483" s="262"/>
      <c r="J483" s="263"/>
      <c r="K483" s="269"/>
      <c r="L483" s="269"/>
      <c r="M483" s="269"/>
      <c r="N483" s="269"/>
      <c r="O483" s="269"/>
      <c r="P483" s="269"/>
    </row>
    <row r="484" spans="1:16" s="264" customFormat="1" ht="15.75" x14ac:dyDescent="0.25">
      <c r="A484" s="48" t="s">
        <v>102</v>
      </c>
      <c r="B484" s="217"/>
      <c r="C484" s="265"/>
      <c r="D484" s="265"/>
      <c r="E484" s="266"/>
      <c r="F484" s="260"/>
      <c r="G484" s="265"/>
      <c r="H484" s="262"/>
      <c r="I484" s="262"/>
      <c r="J484" s="263"/>
      <c r="K484" s="269"/>
      <c r="L484" s="269"/>
      <c r="M484" s="269"/>
      <c r="N484" s="269"/>
      <c r="O484" s="269"/>
      <c r="P484" s="269"/>
    </row>
    <row r="485" spans="1:16" s="1" customFormat="1" x14ac:dyDescent="0.25">
      <c r="A485" s="25" t="s">
        <v>35</v>
      </c>
      <c r="B485" s="28" t="s">
        <v>103</v>
      </c>
      <c r="C485" s="335" t="s">
        <v>38</v>
      </c>
      <c r="D485" s="336"/>
      <c r="E485" s="42" t="s">
        <v>40</v>
      </c>
      <c r="F485" s="43" t="s">
        <v>41</v>
      </c>
      <c r="G485"/>
      <c r="H485"/>
      <c r="I485"/>
      <c r="J485"/>
      <c r="K485"/>
      <c r="L485"/>
    </row>
    <row r="486" spans="1:16" s="1" customFormat="1" x14ac:dyDescent="0.25">
      <c r="A486" s="32"/>
      <c r="B486" s="32"/>
      <c r="C486" s="33" t="s">
        <v>44</v>
      </c>
      <c r="D486" s="33" t="s">
        <v>45</v>
      </c>
      <c r="E486" s="33"/>
      <c r="F486" s="44"/>
      <c r="G486"/>
      <c r="H486"/>
      <c r="I486"/>
      <c r="J486"/>
      <c r="K486"/>
      <c r="L486"/>
    </row>
    <row r="487" spans="1:16" s="1" customFormat="1" ht="12.75" customHeight="1" x14ac:dyDescent="0.25">
      <c r="A487" s="60" t="s">
        <v>5555</v>
      </c>
      <c r="B487" s="60" t="s">
        <v>104</v>
      </c>
      <c r="C487" s="65">
        <v>0.5</v>
      </c>
      <c r="D487" s="35">
        <v>15</v>
      </c>
      <c r="E487" s="35" t="s">
        <v>925</v>
      </c>
      <c r="F487" s="34">
        <f>IFERROR(_xlfn.XLOOKUP(E487,Index!$A:$A,Index!$B:$B),"")</f>
        <v>6.25</v>
      </c>
      <c r="G487"/>
      <c r="H487"/>
      <c r="I487"/>
      <c r="J487"/>
      <c r="K487"/>
      <c r="L487"/>
    </row>
    <row r="488" spans="1:16" s="1" customFormat="1" ht="12.75" customHeight="1" x14ac:dyDescent="0.25">
      <c r="A488" s="26"/>
      <c r="B488" s="26"/>
      <c r="C488" s="61" t="s">
        <v>217</v>
      </c>
      <c r="D488" s="35">
        <v>20</v>
      </c>
      <c r="E488" s="35" t="s">
        <v>279</v>
      </c>
      <c r="F488" s="34">
        <f>IFERROR(_xlfn.XLOOKUP(E488,Index!$A:$A,Index!$B:$B),"")</f>
        <v>8.5</v>
      </c>
      <c r="G488"/>
      <c r="H488"/>
      <c r="I488"/>
      <c r="J488"/>
      <c r="K488"/>
      <c r="L488"/>
    </row>
    <row r="489" spans="1:16" s="1" customFormat="1" ht="12.75" customHeight="1" x14ac:dyDescent="0.25">
      <c r="A489" s="26"/>
      <c r="B489" s="26"/>
      <c r="C489" s="35">
        <v>1</v>
      </c>
      <c r="D489" s="35">
        <v>25</v>
      </c>
      <c r="E489" s="35" t="s">
        <v>279</v>
      </c>
      <c r="F489" s="34">
        <f>IFERROR(_xlfn.XLOOKUP(E489,Index!$A:$A,Index!$B:$B),"")</f>
        <v>8.5</v>
      </c>
      <c r="G489"/>
      <c r="H489"/>
      <c r="I489"/>
      <c r="J489"/>
      <c r="K489"/>
      <c r="L489"/>
    </row>
    <row r="490" spans="1:16" s="1" customFormat="1" ht="12.75" customHeight="1" x14ac:dyDescent="0.25">
      <c r="A490" s="26"/>
      <c r="B490" s="26"/>
      <c r="C490" s="35" t="s">
        <v>223</v>
      </c>
      <c r="D490" s="35">
        <v>32</v>
      </c>
      <c r="E490" s="35" t="s">
        <v>279</v>
      </c>
      <c r="F490" s="34">
        <f>IFERROR(_xlfn.XLOOKUP(E490,Index!$A:$A,Index!$B:$B),"")</f>
        <v>8.5</v>
      </c>
      <c r="G490"/>
      <c r="H490"/>
      <c r="I490"/>
      <c r="J490"/>
      <c r="K490"/>
      <c r="L490"/>
    </row>
    <row r="491" spans="1:16" s="1" customFormat="1" ht="12.75" customHeight="1" x14ac:dyDescent="0.25">
      <c r="A491" s="26"/>
      <c r="B491" s="26"/>
      <c r="C491" s="35" t="s">
        <v>225</v>
      </c>
      <c r="D491" s="35">
        <v>40</v>
      </c>
      <c r="E491" s="35" t="s">
        <v>279</v>
      </c>
      <c r="F491" s="34">
        <f>IFERROR(_xlfn.XLOOKUP(E491,Index!$A:$A,Index!$B:$B),"")</f>
        <v>8.5</v>
      </c>
      <c r="G491"/>
      <c r="H491"/>
      <c r="I491"/>
      <c r="J491"/>
      <c r="K491"/>
      <c r="L491"/>
    </row>
    <row r="492" spans="1:16" s="1" customFormat="1" ht="12.75" customHeight="1" x14ac:dyDescent="0.25">
      <c r="A492" s="26"/>
      <c r="B492" s="26"/>
      <c r="C492" s="35">
        <v>2</v>
      </c>
      <c r="D492" s="35">
        <v>50</v>
      </c>
      <c r="E492" s="35" t="s">
        <v>280</v>
      </c>
      <c r="F492" s="34">
        <f>IFERROR(_xlfn.XLOOKUP(E492,Index!$A:$A,Index!$B:$B),"")</f>
        <v>9.75</v>
      </c>
      <c r="G492"/>
      <c r="H492"/>
      <c r="I492"/>
      <c r="J492"/>
      <c r="K492"/>
      <c r="L492"/>
    </row>
    <row r="493" spans="1:16" s="1" customFormat="1" ht="12.75" customHeight="1" x14ac:dyDescent="0.25">
      <c r="A493" s="26"/>
      <c r="B493" s="26"/>
      <c r="C493" s="35" t="s">
        <v>231</v>
      </c>
      <c r="D493" s="35">
        <v>65</v>
      </c>
      <c r="E493" s="35" t="s">
        <v>420</v>
      </c>
      <c r="F493" s="34">
        <f>IFERROR(_xlfn.XLOOKUP(E493,Index!$A:$A,Index!$B:$B),"")</f>
        <v>12.25</v>
      </c>
      <c r="G493"/>
      <c r="H493"/>
      <c r="I493"/>
      <c r="J493"/>
      <c r="K493"/>
      <c r="L493"/>
    </row>
    <row r="494" spans="1:16" s="1" customFormat="1" ht="12.75" customHeight="1" x14ac:dyDescent="0.25">
      <c r="A494" s="26"/>
      <c r="B494" s="26"/>
      <c r="C494" s="35">
        <v>3</v>
      </c>
      <c r="D494" s="35">
        <v>80</v>
      </c>
      <c r="E494" s="35" t="s">
        <v>281</v>
      </c>
      <c r="F494" s="34">
        <f>IFERROR(_xlfn.XLOOKUP(E494,Index!$A:$A,Index!$B:$B),"")</f>
        <v>12.25</v>
      </c>
      <c r="G494"/>
      <c r="H494"/>
      <c r="I494"/>
      <c r="J494"/>
      <c r="K494"/>
      <c r="L494"/>
    </row>
    <row r="495" spans="1:16" s="1" customFormat="1" ht="12.75" customHeight="1" x14ac:dyDescent="0.25">
      <c r="A495" s="26"/>
      <c r="B495" s="26"/>
      <c r="C495" s="35">
        <v>4</v>
      </c>
      <c r="D495" s="35">
        <v>100</v>
      </c>
      <c r="E495" s="35" t="s">
        <v>282</v>
      </c>
      <c r="F495" s="34">
        <f>IFERROR(_xlfn.XLOOKUP(E495,Index!$A:$A,Index!$B:$B),"")</f>
        <v>12.25</v>
      </c>
      <c r="G495"/>
      <c r="H495"/>
      <c r="I495"/>
      <c r="J495"/>
      <c r="K495"/>
      <c r="L495"/>
    </row>
    <row r="496" spans="1:16" s="1" customFormat="1" ht="12.75" customHeight="1" x14ac:dyDescent="0.25">
      <c r="A496" s="26"/>
      <c r="B496" s="26"/>
      <c r="C496" s="35">
        <v>5</v>
      </c>
      <c r="D496" s="35">
        <v>125</v>
      </c>
      <c r="E496" s="35" t="s">
        <v>283</v>
      </c>
      <c r="F496" s="34">
        <f>IFERROR(_xlfn.XLOOKUP(E496,Index!$A:$A,Index!$B:$B),"")</f>
        <v>16.5</v>
      </c>
      <c r="G496"/>
      <c r="H496"/>
      <c r="I496"/>
      <c r="J496"/>
      <c r="K496"/>
      <c r="L496"/>
    </row>
    <row r="497" spans="1:12" s="1" customFormat="1" ht="12.75" customHeight="1" x14ac:dyDescent="0.25">
      <c r="A497" s="26"/>
      <c r="B497" s="26"/>
      <c r="C497" s="35">
        <v>6</v>
      </c>
      <c r="D497" s="35">
        <v>150</v>
      </c>
      <c r="E497" s="35" t="s">
        <v>284</v>
      </c>
      <c r="F497" s="34">
        <f>IFERROR(_xlfn.XLOOKUP(E497,Index!$A:$A,Index!$B:$B),"")</f>
        <v>16.5</v>
      </c>
      <c r="G497"/>
      <c r="H497"/>
      <c r="I497"/>
      <c r="J497"/>
      <c r="K497"/>
      <c r="L497"/>
    </row>
    <row r="498" spans="1:12" s="1" customFormat="1" ht="12.75" customHeight="1" x14ac:dyDescent="0.25">
      <c r="A498" s="26"/>
      <c r="B498" s="26"/>
      <c r="C498" s="35">
        <v>8</v>
      </c>
      <c r="D498" s="35">
        <v>200</v>
      </c>
      <c r="E498" s="35" t="s">
        <v>285</v>
      </c>
      <c r="F498" s="34">
        <f>IFERROR(_xlfn.XLOOKUP(E498,Index!$A:$A,Index!$B:$B),"")</f>
        <v>20</v>
      </c>
      <c r="G498"/>
      <c r="H498"/>
      <c r="I498"/>
      <c r="J498"/>
      <c r="K498"/>
      <c r="L498"/>
    </row>
    <row r="499" spans="1:12" s="1" customFormat="1" ht="12.75" customHeight="1" x14ac:dyDescent="0.25">
      <c r="A499" s="26"/>
      <c r="B499" s="26"/>
      <c r="C499" s="35">
        <v>10</v>
      </c>
      <c r="D499" s="35">
        <v>250</v>
      </c>
      <c r="E499" s="35" t="s">
        <v>286</v>
      </c>
      <c r="F499" s="34">
        <f>IFERROR(_xlfn.XLOOKUP(E499,Index!$A:$A,Index!$B:$B),"")</f>
        <v>24</v>
      </c>
      <c r="G499"/>
      <c r="H499"/>
      <c r="I499"/>
      <c r="J499"/>
      <c r="K499"/>
      <c r="L499"/>
    </row>
    <row r="500" spans="1:12" s="1" customFormat="1" ht="12.75" customHeight="1" x14ac:dyDescent="0.25">
      <c r="A500" s="26"/>
      <c r="B500" s="26"/>
      <c r="C500" s="35">
        <v>12</v>
      </c>
      <c r="D500" s="35">
        <v>300</v>
      </c>
      <c r="E500" s="35" t="s">
        <v>287</v>
      </c>
      <c r="F500" s="34">
        <f>IFERROR(_xlfn.XLOOKUP(E500,Index!$A:$A,Index!$B:$B),"")</f>
        <v>24</v>
      </c>
      <c r="G500"/>
      <c r="H500"/>
      <c r="I500"/>
      <c r="J500"/>
      <c r="K500"/>
      <c r="L500"/>
    </row>
    <row r="501" spans="1:12" s="1" customFormat="1" ht="12.75" customHeight="1" x14ac:dyDescent="0.25">
      <c r="A501" s="26"/>
      <c r="B501" s="26"/>
      <c r="C501" s="35">
        <v>14</v>
      </c>
      <c r="D501" s="35">
        <v>350</v>
      </c>
      <c r="E501" s="35" t="s">
        <v>288</v>
      </c>
      <c r="F501" s="34">
        <f>IFERROR(_xlfn.XLOOKUP(E501,Index!$A:$A,Index!$B:$B),"")</f>
        <v>38.5</v>
      </c>
      <c r="G501"/>
      <c r="H501"/>
      <c r="I501"/>
      <c r="J501"/>
      <c r="K501"/>
      <c r="L501"/>
    </row>
    <row r="502" spans="1:12" s="1" customFormat="1" ht="12.75" customHeight="1" x14ac:dyDescent="0.25">
      <c r="A502" s="26"/>
      <c r="B502" s="26"/>
      <c r="C502" s="35">
        <v>16</v>
      </c>
      <c r="D502" s="35">
        <v>400</v>
      </c>
      <c r="E502" s="35" t="s">
        <v>289</v>
      </c>
      <c r="F502" s="34">
        <f>IFERROR(_xlfn.XLOOKUP(E502,Index!$A:$A,Index!$B:$B),"")</f>
        <v>38.5</v>
      </c>
      <c r="G502"/>
      <c r="H502"/>
      <c r="I502"/>
      <c r="J502"/>
      <c r="K502"/>
      <c r="L502"/>
    </row>
    <row r="503" spans="1:12" s="1" customFormat="1" ht="12.75" customHeight="1" x14ac:dyDescent="0.25">
      <c r="A503" s="26"/>
      <c r="B503" s="26"/>
      <c r="C503" s="35">
        <v>18</v>
      </c>
      <c r="D503" s="35">
        <v>450</v>
      </c>
      <c r="E503" s="35" t="s">
        <v>926</v>
      </c>
      <c r="F503" s="34">
        <f>IFERROR(_xlfn.XLOOKUP(E503,Index!$A:$A,Index!$B:$B),"")</f>
        <v>95</v>
      </c>
      <c r="G503"/>
      <c r="H503"/>
      <c r="I503"/>
      <c r="J503"/>
      <c r="K503"/>
      <c r="L503"/>
    </row>
    <row r="504" spans="1:12" s="1" customFormat="1" ht="12.75" customHeight="1" x14ac:dyDescent="0.25">
      <c r="A504" s="26"/>
      <c r="B504" s="26"/>
      <c r="C504" s="35">
        <v>20</v>
      </c>
      <c r="D504" s="35">
        <v>500</v>
      </c>
      <c r="E504" s="35" t="s">
        <v>291</v>
      </c>
      <c r="F504" s="34">
        <f>IFERROR(_xlfn.XLOOKUP(E504,Index!$A:$A,Index!$B:$B),"")</f>
        <v>78.75</v>
      </c>
      <c r="G504"/>
      <c r="H504"/>
      <c r="I504"/>
      <c r="J504"/>
      <c r="K504"/>
      <c r="L504"/>
    </row>
    <row r="505" spans="1:12" s="1" customFormat="1" ht="12.75" customHeight="1" x14ac:dyDescent="0.25">
      <c r="A505" s="26"/>
      <c r="B505" s="27"/>
      <c r="C505" s="35">
        <v>24</v>
      </c>
      <c r="D505" s="35">
        <v>550</v>
      </c>
      <c r="E505" s="35" t="s">
        <v>425</v>
      </c>
      <c r="F505" s="34">
        <f>IFERROR(_xlfn.XLOOKUP(E505,Index!$A:$A,Index!$B:$B),"")</f>
        <v>100</v>
      </c>
      <c r="G505"/>
      <c r="H505"/>
      <c r="I505"/>
      <c r="J505"/>
      <c r="K505"/>
      <c r="L505"/>
    </row>
    <row r="506" spans="1:12" s="1" customFormat="1" ht="12.75" customHeight="1" x14ac:dyDescent="0.25">
      <c r="A506" s="26"/>
      <c r="B506" s="60" t="s">
        <v>210</v>
      </c>
      <c r="C506" s="65">
        <v>0.5</v>
      </c>
      <c r="D506" s="35">
        <v>15</v>
      </c>
      <c r="E506" s="35" t="s">
        <v>927</v>
      </c>
      <c r="F506" s="34">
        <f>IFERROR(_xlfn.XLOOKUP(E506,Index!$A:$A,Index!$B:$B),"")</f>
        <v>63.5</v>
      </c>
      <c r="G506"/>
      <c r="H506"/>
      <c r="I506"/>
      <c r="J506"/>
      <c r="K506"/>
      <c r="L506"/>
    </row>
    <row r="507" spans="1:12" s="1" customFormat="1" ht="12.75" customHeight="1" x14ac:dyDescent="0.25">
      <c r="A507" s="26"/>
      <c r="B507" s="26"/>
      <c r="C507" s="61" t="s">
        <v>217</v>
      </c>
      <c r="D507" s="35">
        <v>20</v>
      </c>
      <c r="E507" s="35" t="s">
        <v>928</v>
      </c>
      <c r="F507" s="34">
        <f>IFERROR(_xlfn.XLOOKUP(E507,Index!$A:$A,Index!$B:$B),"")</f>
        <v>63.5</v>
      </c>
      <c r="G507"/>
      <c r="H507"/>
      <c r="I507"/>
      <c r="J507"/>
      <c r="K507"/>
      <c r="L507"/>
    </row>
    <row r="508" spans="1:12" s="1" customFormat="1" ht="12.75" customHeight="1" x14ac:dyDescent="0.25">
      <c r="A508" s="26"/>
      <c r="B508" s="26"/>
      <c r="C508" s="35">
        <v>1</v>
      </c>
      <c r="D508" s="35">
        <v>25</v>
      </c>
      <c r="E508" s="35" t="s">
        <v>929</v>
      </c>
      <c r="F508" s="34">
        <f>IFERROR(_xlfn.XLOOKUP(E508,Index!$A:$A,Index!$B:$B),"")</f>
        <v>73.5</v>
      </c>
      <c r="G508"/>
      <c r="H508"/>
      <c r="I508"/>
      <c r="J508"/>
      <c r="K508"/>
      <c r="L508"/>
    </row>
    <row r="509" spans="1:12" s="1" customFormat="1" ht="12.75" customHeight="1" x14ac:dyDescent="0.25">
      <c r="A509" s="26"/>
      <c r="B509" s="26"/>
      <c r="C509" s="35" t="s">
        <v>223</v>
      </c>
      <c r="D509" s="35">
        <v>32</v>
      </c>
      <c r="E509" s="35" t="s">
        <v>930</v>
      </c>
      <c r="F509" s="34">
        <f>IFERROR(_xlfn.XLOOKUP(E509,Index!$A:$A,Index!$B:$B),"")</f>
        <v>80.5</v>
      </c>
      <c r="G509"/>
      <c r="H509"/>
      <c r="I509"/>
      <c r="J509"/>
      <c r="K509"/>
      <c r="L509"/>
    </row>
    <row r="510" spans="1:12" s="1" customFormat="1" ht="12.75" customHeight="1" x14ac:dyDescent="0.25">
      <c r="A510" s="26"/>
      <c r="B510" s="26"/>
      <c r="C510" s="35" t="s">
        <v>225</v>
      </c>
      <c r="D510" s="35">
        <v>40</v>
      </c>
      <c r="E510" s="35" t="s">
        <v>930</v>
      </c>
      <c r="F510" s="34">
        <f>IFERROR(_xlfn.XLOOKUP(E510,Index!$A:$A,Index!$B:$B),"")</f>
        <v>80.5</v>
      </c>
      <c r="G510"/>
      <c r="H510"/>
      <c r="I510"/>
      <c r="J510"/>
      <c r="K510"/>
      <c r="L510"/>
    </row>
    <row r="511" spans="1:12" s="1" customFormat="1" ht="12.75" customHeight="1" x14ac:dyDescent="0.25">
      <c r="A511" s="26"/>
      <c r="B511" s="26"/>
      <c r="C511" s="35">
        <v>2</v>
      </c>
      <c r="D511" s="35">
        <v>50</v>
      </c>
      <c r="E511" s="35" t="s">
        <v>294</v>
      </c>
      <c r="F511" s="34">
        <f>IFERROR(_xlfn.XLOOKUP(E511,Index!$A:$A,Index!$B:$B),"")</f>
        <v>88.5</v>
      </c>
      <c r="G511"/>
      <c r="H511"/>
      <c r="I511"/>
      <c r="J511"/>
      <c r="K511"/>
      <c r="L511"/>
    </row>
    <row r="512" spans="1:12" s="1" customFormat="1" ht="12.75" customHeight="1" x14ac:dyDescent="0.25">
      <c r="A512" s="26"/>
      <c r="B512" s="26"/>
      <c r="C512" s="35" t="s">
        <v>231</v>
      </c>
      <c r="D512" s="35">
        <v>65</v>
      </c>
      <c r="E512" s="35" t="s">
        <v>295</v>
      </c>
      <c r="F512" s="34">
        <f>IFERROR(_xlfn.XLOOKUP(E512,Index!$A:$A,Index!$B:$B),"")</f>
        <v>93.5</v>
      </c>
      <c r="G512"/>
      <c r="H512"/>
      <c r="I512"/>
      <c r="J512"/>
      <c r="K512"/>
      <c r="L512"/>
    </row>
    <row r="513" spans="1:12" s="1" customFormat="1" ht="12.75" customHeight="1" x14ac:dyDescent="0.25">
      <c r="A513" s="26"/>
      <c r="B513" s="26"/>
      <c r="C513" s="35">
        <v>3</v>
      </c>
      <c r="D513" s="35">
        <v>80</v>
      </c>
      <c r="E513" s="35" t="s">
        <v>296</v>
      </c>
      <c r="F513" s="34">
        <f>IFERROR(_xlfn.XLOOKUP(E513,Index!$A:$A,Index!$B:$B),"")</f>
        <v>124.5</v>
      </c>
      <c r="G513"/>
      <c r="H513"/>
      <c r="I513"/>
      <c r="J513"/>
      <c r="K513"/>
      <c r="L513"/>
    </row>
    <row r="514" spans="1:12" s="1" customFormat="1" ht="12.75" customHeight="1" x14ac:dyDescent="0.25">
      <c r="A514" s="26"/>
      <c r="B514" s="26"/>
      <c r="C514" s="35">
        <v>4</v>
      </c>
      <c r="D514" s="35">
        <v>100</v>
      </c>
      <c r="E514" s="35" t="s">
        <v>297</v>
      </c>
      <c r="F514" s="34">
        <f>IFERROR(_xlfn.XLOOKUP(E514,Index!$A:$A,Index!$B:$B),"")</f>
        <v>133.5</v>
      </c>
      <c r="G514"/>
      <c r="H514"/>
      <c r="I514"/>
      <c r="J514"/>
      <c r="K514"/>
      <c r="L514"/>
    </row>
    <row r="515" spans="1:12" s="1" customFormat="1" ht="12.75" customHeight="1" x14ac:dyDescent="0.25">
      <c r="A515" s="26"/>
      <c r="B515" s="60" t="s">
        <v>298</v>
      </c>
      <c r="C515" s="35">
        <v>5</v>
      </c>
      <c r="D515" s="35">
        <v>125</v>
      </c>
      <c r="E515" s="35" t="s">
        <v>931</v>
      </c>
      <c r="F515" s="34">
        <f>IFERROR(_xlfn.XLOOKUP(E515,Index!$A:$A,Index!$B:$B),"")</f>
        <v>225</v>
      </c>
      <c r="G515"/>
      <c r="H515"/>
      <c r="I515"/>
      <c r="J515"/>
      <c r="K515"/>
      <c r="L515"/>
    </row>
    <row r="516" spans="1:12" s="1" customFormat="1" ht="12.75" customHeight="1" x14ac:dyDescent="0.25">
      <c r="A516" s="26"/>
      <c r="B516" s="26"/>
      <c r="C516" s="35">
        <v>6</v>
      </c>
      <c r="D516" s="35">
        <v>150</v>
      </c>
      <c r="E516" s="35" t="s">
        <v>300</v>
      </c>
      <c r="F516" s="34">
        <f>IFERROR(_xlfn.XLOOKUP(E516,Index!$A:$A,Index!$B:$B),"")</f>
        <v>296.5</v>
      </c>
      <c r="G516"/>
      <c r="H516"/>
      <c r="I516"/>
      <c r="J516"/>
      <c r="K516"/>
      <c r="L516"/>
    </row>
    <row r="517" spans="1:12" s="1" customFormat="1" ht="12.75" customHeight="1" x14ac:dyDescent="0.25">
      <c r="A517" s="26"/>
      <c r="B517" s="26"/>
      <c r="C517" s="35">
        <v>8</v>
      </c>
      <c r="D517" s="35">
        <v>200</v>
      </c>
      <c r="E517" s="35" t="s">
        <v>301</v>
      </c>
      <c r="F517" s="34">
        <f>IFERROR(_xlfn.XLOOKUP(E517,Index!$A:$A,Index!$B:$B),"")</f>
        <v>516</v>
      </c>
      <c r="G517"/>
      <c r="H517"/>
      <c r="I517"/>
      <c r="J517"/>
      <c r="K517"/>
      <c r="L517"/>
    </row>
    <row r="518" spans="1:12" s="1" customFormat="1" ht="12.75" customHeight="1" x14ac:dyDescent="0.25">
      <c r="A518" s="26"/>
      <c r="B518" s="26"/>
      <c r="C518" s="35">
        <v>10</v>
      </c>
      <c r="D518" s="35">
        <v>250</v>
      </c>
      <c r="E518" s="35" t="s">
        <v>302</v>
      </c>
      <c r="F518" s="34">
        <f>IFERROR(_xlfn.XLOOKUP(E518,Index!$A:$A,Index!$B:$B),"")</f>
        <v>707</v>
      </c>
      <c r="G518"/>
      <c r="H518"/>
      <c r="I518"/>
      <c r="J518"/>
      <c r="K518"/>
      <c r="L518"/>
    </row>
    <row r="519" spans="1:12" s="1" customFormat="1" ht="12.75" customHeight="1" x14ac:dyDescent="0.25">
      <c r="A519" s="26"/>
      <c r="B519" s="26"/>
      <c r="C519" s="35">
        <v>12</v>
      </c>
      <c r="D519" s="35">
        <v>300</v>
      </c>
      <c r="E519" s="35" t="s">
        <v>6339</v>
      </c>
      <c r="F519" s="34">
        <f>IFERROR(_xlfn.XLOOKUP(E519,Index!$A:$A,Index!$B:$B),"")</f>
        <v>889.5</v>
      </c>
      <c r="G519"/>
      <c r="H519"/>
      <c r="I519"/>
      <c r="J519"/>
      <c r="K519"/>
      <c r="L519"/>
    </row>
    <row r="520" spans="1:12" s="1" customFormat="1" ht="12.75" customHeight="1" x14ac:dyDescent="0.25">
      <c r="A520" s="26"/>
      <c r="B520" s="26"/>
      <c r="C520" s="35">
        <v>14</v>
      </c>
      <c r="D520" s="35">
        <v>350</v>
      </c>
      <c r="E520" s="35" t="s">
        <v>6338</v>
      </c>
      <c r="F520" s="34">
        <f>IFERROR(_xlfn.XLOOKUP(E520,Index!$A:$A,Index!$B:$B),"")</f>
        <v>889.5</v>
      </c>
      <c r="G520"/>
      <c r="H520"/>
      <c r="I520"/>
      <c r="J520"/>
      <c r="K520"/>
      <c r="L520"/>
    </row>
    <row r="521" spans="1:12" s="1" customFormat="1" ht="12.75" customHeight="1" x14ac:dyDescent="0.25">
      <c r="A521" s="26"/>
      <c r="B521" s="26"/>
      <c r="C521" s="35">
        <v>16</v>
      </c>
      <c r="D521" s="35">
        <v>400</v>
      </c>
      <c r="E521" s="35" t="s">
        <v>303</v>
      </c>
      <c r="F521" s="34">
        <f>IFERROR(_xlfn.XLOOKUP(E521,Index!$A:$A,Index!$B:$B),"")</f>
        <v>1485</v>
      </c>
      <c r="G521"/>
      <c r="H521"/>
      <c r="I521"/>
      <c r="J521"/>
      <c r="K521"/>
      <c r="L521"/>
    </row>
    <row r="522" spans="1:12" s="1" customFormat="1" ht="12.75" customHeight="1" x14ac:dyDescent="0.25">
      <c r="A522" s="26"/>
      <c r="B522" s="26"/>
      <c r="C522" s="35">
        <v>18</v>
      </c>
      <c r="D522" s="35">
        <v>450</v>
      </c>
      <c r="E522" s="35" t="s">
        <v>932</v>
      </c>
      <c r="F522" s="34">
        <f>IFERROR(_xlfn.XLOOKUP(E522,Index!$A:$A,Index!$B:$B),"")</f>
        <v>3938</v>
      </c>
      <c r="G522"/>
      <c r="H522"/>
      <c r="I522"/>
      <c r="J522"/>
      <c r="K522"/>
      <c r="L522"/>
    </row>
    <row r="523" spans="1:12" s="1" customFormat="1" ht="12.75" customHeight="1" x14ac:dyDescent="0.25">
      <c r="A523" s="26"/>
      <c r="B523" s="26"/>
      <c r="C523" s="35">
        <v>20</v>
      </c>
      <c r="D523" s="35">
        <v>500</v>
      </c>
      <c r="E523" s="35" t="s">
        <v>305</v>
      </c>
      <c r="F523" s="34">
        <f>IFERROR(_xlfn.XLOOKUP(E523,Index!$A:$A,Index!$B:$B),"")</f>
        <v>5594</v>
      </c>
      <c r="G523"/>
      <c r="H523"/>
      <c r="I523"/>
      <c r="J523"/>
      <c r="K523"/>
      <c r="L523"/>
    </row>
    <row r="524" spans="1:12" s="1" customFormat="1" ht="12.75" customHeight="1" x14ac:dyDescent="0.25">
      <c r="A524" s="26"/>
      <c r="B524" s="26"/>
      <c r="C524" s="89">
        <v>24</v>
      </c>
      <c r="D524" s="89">
        <v>550</v>
      </c>
      <c r="E524" s="89" t="s">
        <v>306</v>
      </c>
      <c r="F524" s="34">
        <f>IFERROR(_xlfn.XLOOKUP(E524,Index!$A:$A,Index!$B:$B),"")</f>
        <v>7737</v>
      </c>
      <c r="G524"/>
      <c r="H524"/>
      <c r="I524"/>
      <c r="J524"/>
      <c r="K524"/>
      <c r="L524"/>
    </row>
    <row r="525" spans="1:12" s="1" customFormat="1" ht="12.75" customHeight="1" x14ac:dyDescent="0.25">
      <c r="A525" s="26"/>
      <c r="B525" s="60" t="s">
        <v>211</v>
      </c>
      <c r="C525" s="65">
        <v>0.5</v>
      </c>
      <c r="D525" s="35">
        <v>15</v>
      </c>
      <c r="E525" s="35" t="s">
        <v>2853</v>
      </c>
      <c r="F525" s="34">
        <f>IFERROR(_xlfn.XLOOKUP(E525,Index!$A:$A,Index!$B:$B),"")</f>
        <v>83.25</v>
      </c>
      <c r="G525"/>
      <c r="H525"/>
      <c r="I525"/>
      <c r="J525"/>
      <c r="K525"/>
      <c r="L525"/>
    </row>
    <row r="526" spans="1:12" s="1" customFormat="1" ht="12.75" customHeight="1" x14ac:dyDescent="0.25">
      <c r="A526" s="26"/>
      <c r="B526" s="26"/>
      <c r="C526" s="61" t="s">
        <v>217</v>
      </c>
      <c r="D526" s="35">
        <v>20</v>
      </c>
      <c r="E526" s="35" t="s">
        <v>2854</v>
      </c>
      <c r="F526" s="34">
        <f>IFERROR(_xlfn.XLOOKUP(E526,Index!$A:$A,Index!$B:$B),"")</f>
        <v>83.25</v>
      </c>
      <c r="G526"/>
      <c r="H526"/>
      <c r="I526"/>
      <c r="J526"/>
      <c r="K526"/>
      <c r="L526"/>
    </row>
    <row r="527" spans="1:12" s="1" customFormat="1" ht="12.75" customHeight="1" x14ac:dyDescent="0.25">
      <c r="A527" s="26"/>
      <c r="B527" s="26"/>
      <c r="C527" s="35">
        <v>1</v>
      </c>
      <c r="D527" s="35">
        <v>25</v>
      </c>
      <c r="E527" s="35" t="s">
        <v>2854</v>
      </c>
      <c r="F527" s="34">
        <f>IFERROR(_xlfn.XLOOKUP(E527,Index!$A:$A,Index!$B:$B),"")</f>
        <v>83.25</v>
      </c>
      <c r="G527"/>
      <c r="H527"/>
      <c r="I527"/>
      <c r="J527"/>
      <c r="K527"/>
      <c r="L527"/>
    </row>
    <row r="528" spans="1:12" s="1" customFormat="1" ht="12.75" customHeight="1" x14ac:dyDescent="0.25">
      <c r="A528" s="26"/>
      <c r="B528" s="26"/>
      <c r="C528" s="35" t="s">
        <v>223</v>
      </c>
      <c r="D528" s="35">
        <v>32</v>
      </c>
      <c r="E528" s="35" t="s">
        <v>2857</v>
      </c>
      <c r="F528" s="34">
        <f>IFERROR(_xlfn.XLOOKUP(E528,Index!$A:$A,Index!$B:$B),"")</f>
        <v>92</v>
      </c>
      <c r="G528"/>
      <c r="H528"/>
      <c r="I528"/>
      <c r="J528"/>
      <c r="K528"/>
      <c r="L528"/>
    </row>
    <row r="529" spans="1:12" s="1" customFormat="1" ht="12.75" customHeight="1" x14ac:dyDescent="0.25">
      <c r="A529" s="26"/>
      <c r="B529" s="26"/>
      <c r="C529" s="35" t="s">
        <v>225</v>
      </c>
      <c r="D529" s="35">
        <v>40</v>
      </c>
      <c r="E529" s="35" t="s">
        <v>2857</v>
      </c>
      <c r="F529" s="34">
        <f>IFERROR(_xlfn.XLOOKUP(E529,Index!$A:$A,Index!$B:$B),"")</f>
        <v>92</v>
      </c>
      <c r="G529"/>
      <c r="H529"/>
      <c r="I529"/>
      <c r="J529"/>
      <c r="K529"/>
      <c r="L529"/>
    </row>
    <row r="530" spans="1:12" s="1" customFormat="1" ht="12.75" customHeight="1" x14ac:dyDescent="0.25">
      <c r="A530" s="26"/>
      <c r="B530" s="26"/>
      <c r="C530" s="35">
        <v>2</v>
      </c>
      <c r="D530" s="35">
        <v>50</v>
      </c>
      <c r="E530" s="35" t="s">
        <v>307</v>
      </c>
      <c r="F530" s="34">
        <f>IFERROR(_xlfn.XLOOKUP(E530,Index!$A:$A,Index!$B:$B),"")</f>
        <v>92</v>
      </c>
      <c r="G530"/>
      <c r="H530"/>
      <c r="I530"/>
      <c r="J530"/>
      <c r="K530"/>
      <c r="L530"/>
    </row>
    <row r="531" spans="1:12" s="1" customFormat="1" ht="12.75" customHeight="1" x14ac:dyDescent="0.25">
      <c r="A531" s="26"/>
      <c r="B531" s="26"/>
      <c r="C531" s="35" t="s">
        <v>231</v>
      </c>
      <c r="D531" s="35">
        <v>65</v>
      </c>
      <c r="E531" s="35" t="s">
        <v>308</v>
      </c>
      <c r="F531" s="34">
        <f>IFERROR(_xlfn.XLOOKUP(E531,Index!$A:$A,Index!$B:$B),"")</f>
        <v>108.5</v>
      </c>
      <c r="G531"/>
      <c r="H531"/>
      <c r="I531"/>
      <c r="J531"/>
      <c r="K531"/>
      <c r="L531"/>
    </row>
    <row r="532" spans="1:12" s="1" customFormat="1" ht="12.75" customHeight="1" x14ac:dyDescent="0.25">
      <c r="A532" s="26"/>
      <c r="B532" s="26"/>
      <c r="C532" s="35">
        <v>3</v>
      </c>
      <c r="D532" s="35">
        <v>80</v>
      </c>
      <c r="E532" s="35" t="s">
        <v>309</v>
      </c>
      <c r="F532" s="34">
        <f>IFERROR(_xlfn.XLOOKUP(E532,Index!$A:$A,Index!$B:$B),"")</f>
        <v>125</v>
      </c>
      <c r="G532"/>
      <c r="H532"/>
      <c r="I532"/>
      <c r="J532"/>
      <c r="K532"/>
      <c r="L532"/>
    </row>
    <row r="533" spans="1:12" s="1" customFormat="1" ht="12.75" customHeight="1" x14ac:dyDescent="0.25">
      <c r="A533" s="26"/>
      <c r="B533" s="26"/>
      <c r="C533" s="35">
        <v>4</v>
      </c>
      <c r="D533" s="35">
        <v>100</v>
      </c>
      <c r="E533" s="35" t="s">
        <v>310</v>
      </c>
      <c r="F533" s="34">
        <f>IFERROR(_xlfn.XLOOKUP(E533,Index!$A:$A,Index!$B:$B),"")</f>
        <v>204</v>
      </c>
      <c r="G533"/>
      <c r="H533"/>
      <c r="I533"/>
      <c r="J533"/>
      <c r="K533"/>
      <c r="L533"/>
    </row>
    <row r="534" spans="1:12" s="1" customFormat="1" ht="12.75" customHeight="1" x14ac:dyDescent="0.25">
      <c r="A534" s="26"/>
      <c r="B534" s="26"/>
      <c r="C534" s="35">
        <v>5</v>
      </c>
      <c r="D534" s="35">
        <v>125</v>
      </c>
      <c r="E534" s="35" t="s">
        <v>311</v>
      </c>
      <c r="F534" s="34">
        <f>IFERROR(_xlfn.XLOOKUP(E534,Index!$A:$A,Index!$B:$B),"")</f>
        <v>316</v>
      </c>
      <c r="G534"/>
      <c r="H534"/>
      <c r="I534"/>
      <c r="J534"/>
      <c r="K534"/>
      <c r="L534"/>
    </row>
    <row r="535" spans="1:12" s="1" customFormat="1" ht="12.75" customHeight="1" x14ac:dyDescent="0.25">
      <c r="A535" s="26"/>
      <c r="B535" s="26"/>
      <c r="C535" s="35">
        <v>6</v>
      </c>
      <c r="D535" s="35">
        <v>150</v>
      </c>
      <c r="E535" s="35" t="s">
        <v>312</v>
      </c>
      <c r="F535" s="34">
        <f>IFERROR(_xlfn.XLOOKUP(E535,Index!$A:$A,Index!$B:$B),"")</f>
        <v>394.5</v>
      </c>
      <c r="G535"/>
      <c r="H535"/>
      <c r="I535"/>
      <c r="J535"/>
      <c r="K535"/>
      <c r="L535"/>
    </row>
    <row r="536" spans="1:12" s="1" customFormat="1" ht="12.75" customHeight="1" x14ac:dyDescent="0.25">
      <c r="A536" s="26"/>
      <c r="B536" s="26"/>
      <c r="C536" s="35">
        <v>8</v>
      </c>
      <c r="D536" s="35">
        <v>200</v>
      </c>
      <c r="E536" s="35" t="s">
        <v>313</v>
      </c>
      <c r="F536" s="34">
        <f>IFERROR(_xlfn.XLOOKUP(E536,Index!$A:$A,Index!$B:$B),"")</f>
        <v>1246</v>
      </c>
      <c r="G536"/>
      <c r="H536"/>
      <c r="I536"/>
      <c r="J536"/>
      <c r="K536"/>
      <c r="L536"/>
    </row>
    <row r="537" spans="1:12" s="1" customFormat="1" ht="12.75" customHeight="1" x14ac:dyDescent="0.25">
      <c r="A537" s="26"/>
      <c r="B537" s="26"/>
      <c r="C537" s="35">
        <v>10</v>
      </c>
      <c r="D537" s="35">
        <v>250</v>
      </c>
      <c r="E537" s="35" t="s">
        <v>314</v>
      </c>
      <c r="F537" s="34">
        <f>IFERROR(_xlfn.XLOOKUP(E537,Index!$A:$A,Index!$B:$B),"")</f>
        <v>2084</v>
      </c>
      <c r="G537"/>
      <c r="H537"/>
      <c r="I537"/>
      <c r="J537"/>
      <c r="K537"/>
      <c r="L537"/>
    </row>
    <row r="538" spans="1:12" s="1" customFormat="1" ht="12.75" customHeight="1" x14ac:dyDescent="0.25">
      <c r="A538" s="26"/>
      <c r="B538" s="26"/>
      <c r="C538" s="35">
        <v>12</v>
      </c>
      <c r="D538" s="35">
        <v>300</v>
      </c>
      <c r="E538" s="35" t="s">
        <v>315</v>
      </c>
      <c r="F538" s="34">
        <f>IFERROR(_xlfn.XLOOKUP(E538,Index!$A:$A,Index!$B:$B),"")</f>
        <v>1943</v>
      </c>
      <c r="G538"/>
      <c r="H538"/>
      <c r="I538"/>
      <c r="J538"/>
      <c r="K538"/>
      <c r="L538"/>
    </row>
    <row r="539" spans="1:12" s="1" customFormat="1" ht="12.75" customHeight="1" x14ac:dyDescent="0.25">
      <c r="A539" s="26"/>
      <c r="B539" s="26"/>
      <c r="C539" s="35">
        <v>14</v>
      </c>
      <c r="D539" s="35">
        <v>350</v>
      </c>
      <c r="E539" s="35" t="s">
        <v>316</v>
      </c>
      <c r="F539" s="34">
        <f>IFERROR(_xlfn.XLOOKUP(E539,Index!$A:$A,Index!$B:$B),"")</f>
        <v>3150</v>
      </c>
      <c r="G539"/>
      <c r="H539"/>
      <c r="I539"/>
      <c r="J539"/>
      <c r="K539"/>
      <c r="L539"/>
    </row>
    <row r="540" spans="1:12" s="1" customFormat="1" ht="12.75" customHeight="1" x14ac:dyDescent="0.25">
      <c r="A540" s="26"/>
      <c r="B540" s="26"/>
      <c r="C540" s="35">
        <v>16</v>
      </c>
      <c r="D540" s="35">
        <v>400</v>
      </c>
      <c r="E540" s="35" t="s">
        <v>317</v>
      </c>
      <c r="F540" s="34">
        <f>IFERROR(_xlfn.XLOOKUP(E540,Index!$A:$A,Index!$B:$B),"")</f>
        <v>4435</v>
      </c>
      <c r="G540"/>
      <c r="H540"/>
      <c r="I540"/>
      <c r="J540"/>
      <c r="K540"/>
      <c r="L540"/>
    </row>
    <row r="541" spans="1:12" s="1" customFormat="1" ht="12.75" customHeight="1" x14ac:dyDescent="0.25">
      <c r="A541" s="26"/>
      <c r="B541" s="26"/>
      <c r="C541" s="35">
        <v>18</v>
      </c>
      <c r="D541" s="35">
        <v>450</v>
      </c>
      <c r="E541" s="35" t="s">
        <v>318</v>
      </c>
      <c r="F541" s="34">
        <f>IFERROR(_xlfn.XLOOKUP(E541,Index!$A:$A,Index!$B:$B),"")</f>
        <v>6303</v>
      </c>
      <c r="G541"/>
      <c r="H541"/>
      <c r="I541"/>
      <c r="J541"/>
      <c r="K541"/>
      <c r="L541"/>
    </row>
    <row r="542" spans="1:12" s="1" customFormat="1" ht="12.75" customHeight="1" x14ac:dyDescent="0.25">
      <c r="A542" s="26"/>
      <c r="B542" s="26"/>
      <c r="C542" s="35">
        <v>20</v>
      </c>
      <c r="D542" s="35">
        <v>500</v>
      </c>
      <c r="E542" s="268" t="s">
        <v>5542</v>
      </c>
      <c r="F542" s="250">
        <f>F541+803</f>
        <v>7106</v>
      </c>
      <c r="G542"/>
      <c r="H542"/>
      <c r="I542"/>
      <c r="J542"/>
      <c r="K542"/>
      <c r="L542"/>
    </row>
    <row r="543" spans="1:12" s="1" customFormat="1" ht="12.75" customHeight="1" x14ac:dyDescent="0.25">
      <c r="A543" s="26"/>
      <c r="B543" s="27"/>
      <c r="C543" s="35">
        <v>24</v>
      </c>
      <c r="D543" s="35">
        <v>550</v>
      </c>
      <c r="E543" s="35" t="s">
        <v>2858</v>
      </c>
      <c r="F543" s="34">
        <f>IFERROR(_xlfn.XLOOKUP(E543,Index!$A:$A,Index!$B:$B),"")</f>
        <v>8453</v>
      </c>
      <c r="G543"/>
      <c r="H543"/>
      <c r="I543"/>
      <c r="J543"/>
      <c r="K543"/>
      <c r="L543"/>
    </row>
    <row r="544" spans="1:12" s="1" customFormat="1" ht="12.75" customHeight="1" x14ac:dyDescent="0.25">
      <c r="A544" s="26"/>
      <c r="B544" s="26" t="s">
        <v>122</v>
      </c>
      <c r="C544" s="222">
        <v>0.5</v>
      </c>
      <c r="D544" s="31">
        <v>15</v>
      </c>
      <c r="E544" s="31" t="s">
        <v>2859</v>
      </c>
      <c r="F544" s="34">
        <f>IFERROR(_xlfn.XLOOKUP(E544,Index!$A:$A,Index!$B:$B),"")</f>
        <v>83.25</v>
      </c>
      <c r="G544"/>
      <c r="H544"/>
      <c r="I544"/>
      <c r="J544"/>
      <c r="K544"/>
      <c r="L544"/>
    </row>
    <row r="545" spans="1:12" s="1" customFormat="1" ht="12.75" customHeight="1" x14ac:dyDescent="0.25">
      <c r="A545" s="26"/>
      <c r="B545" s="26"/>
      <c r="C545" s="61" t="s">
        <v>217</v>
      </c>
      <c r="D545" s="35">
        <v>20</v>
      </c>
      <c r="E545" s="35" t="s">
        <v>2860</v>
      </c>
      <c r="F545" s="34">
        <f>IFERROR(_xlfn.XLOOKUP(E545,Index!$A:$A,Index!$B:$B),"")</f>
        <v>83.25</v>
      </c>
      <c r="G545"/>
      <c r="H545"/>
      <c r="I545"/>
      <c r="J545"/>
      <c r="K545"/>
      <c r="L545"/>
    </row>
    <row r="546" spans="1:12" s="1" customFormat="1" ht="12.75" customHeight="1" x14ac:dyDescent="0.25">
      <c r="A546" s="26"/>
      <c r="B546" s="26"/>
      <c r="C546" s="35">
        <v>1</v>
      </c>
      <c r="D546" s="35">
        <v>25</v>
      </c>
      <c r="E546" s="35" t="s">
        <v>319</v>
      </c>
      <c r="F546" s="34">
        <f>IFERROR(_xlfn.XLOOKUP(E546,Index!$A:$A,Index!$B:$B),"")</f>
        <v>442.5</v>
      </c>
      <c r="G546"/>
      <c r="H546"/>
      <c r="I546"/>
      <c r="J546"/>
      <c r="K546"/>
      <c r="L546"/>
    </row>
    <row r="547" spans="1:12" s="1" customFormat="1" ht="12.75" customHeight="1" x14ac:dyDescent="0.25">
      <c r="A547" s="26"/>
      <c r="B547" s="26"/>
      <c r="C547" s="35" t="s">
        <v>223</v>
      </c>
      <c r="D547" s="35">
        <v>32</v>
      </c>
      <c r="E547" s="268" t="s">
        <v>5542</v>
      </c>
      <c r="F547" s="250">
        <f>$F$528</f>
        <v>92</v>
      </c>
      <c r="G547"/>
      <c r="H547"/>
      <c r="I547"/>
      <c r="J547"/>
      <c r="K547"/>
      <c r="L547"/>
    </row>
    <row r="548" spans="1:12" s="1" customFormat="1" ht="12.75" customHeight="1" x14ac:dyDescent="0.25">
      <c r="A548" s="26"/>
      <c r="B548" s="26"/>
      <c r="C548" s="35" t="s">
        <v>225</v>
      </c>
      <c r="D548" s="35">
        <v>40</v>
      </c>
      <c r="E548" s="35" t="s">
        <v>320</v>
      </c>
      <c r="F548" s="34">
        <f>IFERROR(_xlfn.XLOOKUP(E548,Index!$A:$A,Index!$B:$B),"")</f>
        <v>442.5</v>
      </c>
      <c r="G548"/>
      <c r="H548"/>
      <c r="I548"/>
      <c r="J548"/>
      <c r="K548"/>
      <c r="L548"/>
    </row>
    <row r="549" spans="1:12" s="1" customFormat="1" ht="12.75" customHeight="1" x14ac:dyDescent="0.25">
      <c r="A549" s="26"/>
      <c r="B549" s="26"/>
      <c r="C549" s="35">
        <v>2</v>
      </c>
      <c r="D549" s="35">
        <v>50</v>
      </c>
      <c r="E549" s="35" t="s">
        <v>321</v>
      </c>
      <c r="F549" s="34">
        <f>IFERROR(_xlfn.XLOOKUP(E549,Index!$A:$A,Index!$B:$B),"")</f>
        <v>92</v>
      </c>
      <c r="G549"/>
      <c r="H549"/>
      <c r="I549"/>
      <c r="J549"/>
      <c r="K549"/>
      <c r="L549"/>
    </row>
    <row r="550" spans="1:12" s="1" customFormat="1" ht="12.75" customHeight="1" x14ac:dyDescent="0.25">
      <c r="A550" s="26"/>
      <c r="B550" s="26"/>
      <c r="C550" s="35" t="s">
        <v>231</v>
      </c>
      <c r="D550" s="35">
        <v>65</v>
      </c>
      <c r="E550" s="35" t="s">
        <v>322</v>
      </c>
      <c r="F550" s="34">
        <f>IFERROR(_xlfn.XLOOKUP(E550,Index!$A:$A,Index!$B:$B),"")</f>
        <v>108.5</v>
      </c>
      <c r="G550"/>
      <c r="H550"/>
      <c r="I550"/>
      <c r="J550"/>
      <c r="K550"/>
      <c r="L550"/>
    </row>
    <row r="551" spans="1:12" s="1" customFormat="1" ht="12.75" customHeight="1" x14ac:dyDescent="0.25">
      <c r="A551" s="26"/>
      <c r="B551" s="26"/>
      <c r="C551" s="35">
        <v>3</v>
      </c>
      <c r="D551" s="35">
        <v>80</v>
      </c>
      <c r="E551" s="35" t="s">
        <v>323</v>
      </c>
      <c r="F551" s="34">
        <f>IFERROR(_xlfn.XLOOKUP(E551,Index!$A:$A,Index!$B:$B),"")</f>
        <v>125</v>
      </c>
      <c r="G551"/>
      <c r="H551"/>
      <c r="I551"/>
      <c r="J551"/>
      <c r="K551"/>
      <c r="L551"/>
    </row>
    <row r="552" spans="1:12" s="1" customFormat="1" ht="12.75" customHeight="1" x14ac:dyDescent="0.25">
      <c r="A552" s="26"/>
      <c r="B552" s="26"/>
      <c r="C552" s="35">
        <v>4</v>
      </c>
      <c r="D552" s="35">
        <v>100</v>
      </c>
      <c r="E552" s="35" t="s">
        <v>324</v>
      </c>
      <c r="F552" s="34">
        <f>IFERROR(_xlfn.XLOOKUP(E552,Index!$A:$A,Index!$B:$B),"")</f>
        <v>204</v>
      </c>
      <c r="G552"/>
      <c r="H552"/>
      <c r="I552"/>
      <c r="J552"/>
      <c r="K552"/>
      <c r="L552"/>
    </row>
    <row r="553" spans="1:12" s="1" customFormat="1" ht="12.75" customHeight="1" x14ac:dyDescent="0.25">
      <c r="A553" s="26"/>
      <c r="B553" s="26"/>
      <c r="C553" s="35">
        <v>5</v>
      </c>
      <c r="D553" s="35">
        <v>125</v>
      </c>
      <c r="E553" s="35" t="s">
        <v>325</v>
      </c>
      <c r="F553" s="34">
        <f>IFERROR(_xlfn.XLOOKUP(E553,Index!$A:$A,Index!$B:$B),"")</f>
        <v>316</v>
      </c>
      <c r="G553"/>
      <c r="H553"/>
      <c r="I553"/>
      <c r="J553"/>
      <c r="K553"/>
      <c r="L553"/>
    </row>
    <row r="554" spans="1:12" s="1" customFormat="1" ht="12.75" customHeight="1" x14ac:dyDescent="0.25">
      <c r="A554" s="26"/>
      <c r="B554" s="26"/>
      <c r="C554" s="35">
        <v>6</v>
      </c>
      <c r="D554" s="35">
        <v>150</v>
      </c>
      <c r="E554" s="35" t="s">
        <v>326</v>
      </c>
      <c r="F554" s="34">
        <f>IFERROR(_xlfn.XLOOKUP(E554,Index!$A:$A,Index!$B:$B),"")</f>
        <v>394.5</v>
      </c>
      <c r="G554"/>
      <c r="H554"/>
      <c r="I554"/>
      <c r="J554"/>
      <c r="K554"/>
      <c r="L554"/>
    </row>
    <row r="555" spans="1:12" s="1" customFormat="1" ht="12.75" customHeight="1" x14ac:dyDescent="0.25">
      <c r="A555" s="26"/>
      <c r="B555" s="26"/>
      <c r="C555" s="35">
        <v>8</v>
      </c>
      <c r="D555" s="35">
        <v>200</v>
      </c>
      <c r="E555" s="35" t="s">
        <v>327</v>
      </c>
      <c r="F555" s="34">
        <f>IFERROR(_xlfn.XLOOKUP(E555,Index!$A:$A,Index!$B:$B),"")</f>
        <v>1246</v>
      </c>
      <c r="G555"/>
      <c r="H555"/>
      <c r="I555"/>
      <c r="J555"/>
      <c r="K555"/>
      <c r="L555"/>
    </row>
    <row r="556" spans="1:12" s="1" customFormat="1" ht="12.75" customHeight="1" x14ac:dyDescent="0.25">
      <c r="A556" s="26"/>
      <c r="B556" s="26"/>
      <c r="C556" s="35">
        <v>10</v>
      </c>
      <c r="D556" s="35">
        <v>250</v>
      </c>
      <c r="E556" s="35" t="s">
        <v>328</v>
      </c>
      <c r="F556" s="34">
        <f>IFERROR(_xlfn.XLOOKUP(E556,Index!$A:$A,Index!$B:$B),"")</f>
        <v>2084</v>
      </c>
      <c r="G556"/>
      <c r="H556"/>
      <c r="I556"/>
      <c r="J556"/>
      <c r="K556"/>
      <c r="L556"/>
    </row>
    <row r="557" spans="1:12" s="1" customFormat="1" ht="12.75" customHeight="1" x14ac:dyDescent="0.25">
      <c r="A557" s="26"/>
      <c r="B557" s="26"/>
      <c r="C557" s="35">
        <v>12</v>
      </c>
      <c r="D557" s="35">
        <v>300</v>
      </c>
      <c r="E557" s="35" t="s">
        <v>329</v>
      </c>
      <c r="F557" s="34">
        <f>IFERROR(_xlfn.XLOOKUP(E557,Index!$A:$A,Index!$B:$B),"")</f>
        <v>1943</v>
      </c>
      <c r="G557"/>
      <c r="H557"/>
      <c r="I557"/>
      <c r="J557"/>
      <c r="K557"/>
      <c r="L557"/>
    </row>
    <row r="558" spans="1:12" s="1" customFormat="1" ht="12.75" customHeight="1" x14ac:dyDescent="0.25">
      <c r="A558" s="26"/>
      <c r="B558" s="26"/>
      <c r="C558" s="35">
        <v>14</v>
      </c>
      <c r="D558" s="35">
        <v>350</v>
      </c>
      <c r="E558" s="35" t="s">
        <v>330</v>
      </c>
      <c r="F558" s="34">
        <f>IFERROR(_xlfn.XLOOKUP(E558,Index!$A:$A,Index!$B:$B),"")</f>
        <v>3150</v>
      </c>
      <c r="G558"/>
      <c r="H558"/>
      <c r="I558"/>
      <c r="J558"/>
      <c r="K558"/>
      <c r="L558"/>
    </row>
    <row r="559" spans="1:12" s="1" customFormat="1" ht="12.75" customHeight="1" x14ac:dyDescent="0.25">
      <c r="A559" s="26"/>
      <c r="B559" s="26"/>
      <c r="C559" s="35">
        <v>16</v>
      </c>
      <c r="D559" s="35">
        <v>400</v>
      </c>
      <c r="E559" s="35" t="s">
        <v>2852</v>
      </c>
      <c r="F559" s="34">
        <f>IFERROR(_xlfn.XLOOKUP(E559,Index!$A:$A,Index!$B:$B),"")</f>
        <v>4435</v>
      </c>
      <c r="G559"/>
      <c r="H559"/>
      <c r="I559"/>
      <c r="J559"/>
      <c r="K559"/>
      <c r="L559"/>
    </row>
    <row r="560" spans="1:12" s="1" customFormat="1" ht="12.75" customHeight="1" x14ac:dyDescent="0.25">
      <c r="A560" s="26"/>
      <c r="B560" s="26"/>
      <c r="C560" s="35">
        <v>18</v>
      </c>
      <c r="D560" s="35">
        <v>450</v>
      </c>
      <c r="E560" s="35" t="s">
        <v>331</v>
      </c>
      <c r="F560" s="34">
        <f>IFERROR(_xlfn.XLOOKUP(E560,Index!$A:$A,Index!$B:$B),"")</f>
        <v>33075</v>
      </c>
      <c r="G560"/>
      <c r="H560"/>
      <c r="I560"/>
      <c r="J560"/>
      <c r="K560"/>
      <c r="L560"/>
    </row>
    <row r="561" spans="1:12" s="1" customFormat="1" ht="12.75" customHeight="1" x14ac:dyDescent="0.25">
      <c r="A561" s="26"/>
      <c r="B561" s="26"/>
      <c r="C561" s="35">
        <v>20</v>
      </c>
      <c r="D561" s="35">
        <v>500</v>
      </c>
      <c r="E561" s="268" t="s">
        <v>5542</v>
      </c>
      <c r="F561" s="250">
        <f t="shared" ref="F561:F562" si="2">F542</f>
        <v>7106</v>
      </c>
      <c r="G561"/>
      <c r="H561"/>
      <c r="I561"/>
      <c r="J561"/>
      <c r="K561"/>
      <c r="L561"/>
    </row>
    <row r="562" spans="1:12" s="1" customFormat="1" ht="12.75" customHeight="1" x14ac:dyDescent="0.25">
      <c r="A562" s="26"/>
      <c r="B562" s="26"/>
      <c r="C562" s="89">
        <v>24</v>
      </c>
      <c r="D562" s="89">
        <v>550</v>
      </c>
      <c r="E562" s="268" t="s">
        <v>5542</v>
      </c>
      <c r="F562" s="250">
        <f t="shared" si="2"/>
        <v>8453</v>
      </c>
      <c r="G562"/>
      <c r="H562"/>
      <c r="I562"/>
      <c r="J562"/>
      <c r="K562"/>
      <c r="L562"/>
    </row>
    <row r="563" spans="1:12" s="1" customFormat="1" ht="12.75" customHeight="1" x14ac:dyDescent="0.25">
      <c r="A563" s="26"/>
      <c r="B563" s="60" t="s">
        <v>134</v>
      </c>
      <c r="C563" s="65">
        <v>0.5</v>
      </c>
      <c r="D563" s="35">
        <v>15</v>
      </c>
      <c r="E563" s="35" t="s">
        <v>2861</v>
      </c>
      <c r="F563" s="34">
        <f>IFERROR(_xlfn.XLOOKUP(E563,Index!$A:$A,Index!$B:$B),"")</f>
        <v>83.25</v>
      </c>
      <c r="G563"/>
      <c r="H563"/>
      <c r="I563"/>
      <c r="J563"/>
      <c r="K563"/>
      <c r="L563"/>
    </row>
    <row r="564" spans="1:12" s="1" customFormat="1" ht="12.75" customHeight="1" x14ac:dyDescent="0.25">
      <c r="A564" s="26"/>
      <c r="B564" s="26"/>
      <c r="C564" s="61" t="s">
        <v>217</v>
      </c>
      <c r="D564" s="35">
        <v>20</v>
      </c>
      <c r="E564" s="35" t="s">
        <v>2855</v>
      </c>
      <c r="F564" s="34">
        <f>IFERROR(_xlfn.XLOOKUP(E564,Index!$A:$A,Index!$B:$B),"")</f>
        <v>83.25</v>
      </c>
      <c r="G564"/>
      <c r="H564"/>
      <c r="I564"/>
      <c r="J564"/>
      <c r="K564"/>
      <c r="L564"/>
    </row>
    <row r="565" spans="1:12" s="1" customFormat="1" ht="12.75" customHeight="1" x14ac:dyDescent="0.25">
      <c r="A565" s="26"/>
      <c r="B565" s="26"/>
      <c r="C565" s="35">
        <v>1</v>
      </c>
      <c r="D565" s="35">
        <v>25</v>
      </c>
      <c r="E565" s="35" t="s">
        <v>2855</v>
      </c>
      <c r="F565" s="34">
        <f>IFERROR(_xlfn.XLOOKUP(E565,Index!$A:$A,Index!$B:$B),"")</f>
        <v>83.25</v>
      </c>
      <c r="G565"/>
      <c r="H565"/>
      <c r="I565"/>
      <c r="J565"/>
      <c r="K565"/>
      <c r="L565"/>
    </row>
    <row r="566" spans="1:12" s="1" customFormat="1" ht="12.75" customHeight="1" x14ac:dyDescent="0.25">
      <c r="A566" s="26"/>
      <c r="B566" s="26"/>
      <c r="C566" s="35" t="s">
        <v>223</v>
      </c>
      <c r="D566" s="35">
        <v>32</v>
      </c>
      <c r="E566" s="268" t="s">
        <v>5542</v>
      </c>
      <c r="F566" s="250">
        <f>$F$547</f>
        <v>92</v>
      </c>
      <c r="G566"/>
      <c r="H566"/>
      <c r="I566"/>
      <c r="J566"/>
      <c r="K566"/>
      <c r="L566"/>
    </row>
    <row r="567" spans="1:12" s="1" customFormat="1" ht="12.75" customHeight="1" x14ac:dyDescent="0.25">
      <c r="A567" s="26"/>
      <c r="B567" s="26"/>
      <c r="C567" s="35" t="s">
        <v>225</v>
      </c>
      <c r="D567" s="35">
        <v>40</v>
      </c>
      <c r="E567" s="35" t="s">
        <v>2862</v>
      </c>
      <c r="F567" s="34">
        <f>IFERROR(_xlfn.XLOOKUP(E567,Index!$A:$A,Index!$B:$B),"")</f>
        <v>92</v>
      </c>
      <c r="G567"/>
      <c r="H567"/>
      <c r="I567"/>
      <c r="J567"/>
      <c r="K567"/>
      <c r="L567"/>
    </row>
    <row r="568" spans="1:12" s="1" customFormat="1" ht="12.75" customHeight="1" x14ac:dyDescent="0.25">
      <c r="A568" s="26"/>
      <c r="B568" s="26"/>
      <c r="C568" s="35">
        <v>2</v>
      </c>
      <c r="D568" s="35">
        <v>50</v>
      </c>
      <c r="E568" s="35" t="s">
        <v>332</v>
      </c>
      <c r="F568" s="34">
        <f>IFERROR(_xlfn.XLOOKUP(E568,Index!$A:$A,Index!$B:$B),"")</f>
        <v>92</v>
      </c>
      <c r="G568"/>
      <c r="H568"/>
      <c r="I568"/>
      <c r="J568"/>
      <c r="K568"/>
      <c r="L568"/>
    </row>
    <row r="569" spans="1:12" s="1" customFormat="1" ht="12.75" customHeight="1" x14ac:dyDescent="0.25">
      <c r="A569" s="26"/>
      <c r="B569" s="26"/>
      <c r="C569" s="35" t="s">
        <v>231</v>
      </c>
      <c r="D569" s="35">
        <v>65</v>
      </c>
      <c r="E569" s="35" t="s">
        <v>333</v>
      </c>
      <c r="F569" s="34">
        <f>IFERROR(_xlfn.XLOOKUP(E569,Index!$A:$A,Index!$B:$B),"")</f>
        <v>108.5</v>
      </c>
      <c r="G569"/>
      <c r="H569"/>
      <c r="I569"/>
      <c r="J569"/>
      <c r="K569"/>
      <c r="L569"/>
    </row>
    <row r="570" spans="1:12" s="1" customFormat="1" ht="12.75" customHeight="1" x14ac:dyDescent="0.25">
      <c r="A570" s="26"/>
      <c r="B570" s="26"/>
      <c r="C570" s="35">
        <v>3</v>
      </c>
      <c r="D570" s="35">
        <v>80</v>
      </c>
      <c r="E570" s="35" t="s">
        <v>334</v>
      </c>
      <c r="F570" s="34">
        <f>IFERROR(_xlfn.XLOOKUP(E570,Index!$A:$A,Index!$B:$B),"")</f>
        <v>125</v>
      </c>
      <c r="G570"/>
      <c r="H570"/>
      <c r="I570"/>
      <c r="J570"/>
      <c r="K570"/>
      <c r="L570"/>
    </row>
    <row r="571" spans="1:12" s="1" customFormat="1" ht="12.75" customHeight="1" x14ac:dyDescent="0.25">
      <c r="A571" s="26"/>
      <c r="B571" s="26"/>
      <c r="C571" s="35">
        <v>4</v>
      </c>
      <c r="D571" s="35">
        <v>100</v>
      </c>
      <c r="E571" s="35" t="s">
        <v>335</v>
      </c>
      <c r="F571" s="34">
        <f>IFERROR(_xlfn.XLOOKUP(E571,Index!$A:$A,Index!$B:$B),"")</f>
        <v>204</v>
      </c>
      <c r="G571"/>
      <c r="H571"/>
      <c r="I571"/>
      <c r="J571"/>
      <c r="K571"/>
      <c r="L571"/>
    </row>
    <row r="572" spans="1:12" s="1" customFormat="1" ht="12.75" customHeight="1" x14ac:dyDescent="0.25">
      <c r="A572" s="26"/>
      <c r="B572" s="26"/>
      <c r="C572" s="35">
        <v>5</v>
      </c>
      <c r="D572" s="35">
        <v>125</v>
      </c>
      <c r="E572" s="35" t="s">
        <v>336</v>
      </c>
      <c r="F572" s="34">
        <f>IFERROR(_xlfn.XLOOKUP(E572,Index!$A:$A,Index!$B:$B),"")</f>
        <v>316</v>
      </c>
      <c r="G572"/>
      <c r="H572"/>
      <c r="I572"/>
      <c r="J572"/>
      <c r="K572"/>
      <c r="L572"/>
    </row>
    <row r="573" spans="1:12" s="1" customFormat="1" ht="12.75" customHeight="1" x14ac:dyDescent="0.25">
      <c r="A573" s="26"/>
      <c r="B573" s="26"/>
      <c r="C573" s="35">
        <v>6</v>
      </c>
      <c r="D573" s="35">
        <v>150</v>
      </c>
      <c r="E573" s="35" t="s">
        <v>337</v>
      </c>
      <c r="F573" s="34">
        <f>IFERROR(_xlfn.XLOOKUP(E573,Index!$A:$A,Index!$B:$B),"")</f>
        <v>394.5</v>
      </c>
      <c r="G573"/>
      <c r="H573"/>
      <c r="I573"/>
      <c r="J573"/>
      <c r="K573"/>
      <c r="L573"/>
    </row>
    <row r="574" spans="1:12" s="1" customFormat="1" ht="12.75" customHeight="1" x14ac:dyDescent="0.25">
      <c r="A574" s="26"/>
      <c r="B574" s="26"/>
      <c r="C574" s="35">
        <v>8</v>
      </c>
      <c r="D574" s="35">
        <v>200</v>
      </c>
      <c r="E574" s="35" t="s">
        <v>338</v>
      </c>
      <c r="F574" s="34">
        <f>IFERROR(_xlfn.XLOOKUP(E574,Index!$A:$A,Index!$B:$B),"")</f>
        <v>1246</v>
      </c>
      <c r="G574"/>
      <c r="H574"/>
      <c r="I574"/>
      <c r="J574"/>
      <c r="K574"/>
      <c r="L574"/>
    </row>
    <row r="575" spans="1:12" s="1" customFormat="1" ht="12.75" customHeight="1" x14ac:dyDescent="0.25">
      <c r="A575" s="26"/>
      <c r="B575" s="26"/>
      <c r="C575" s="35">
        <v>10</v>
      </c>
      <c r="D575" s="35">
        <v>250</v>
      </c>
      <c r="E575" s="35" t="s">
        <v>339</v>
      </c>
      <c r="F575" s="34">
        <f>IFERROR(_xlfn.XLOOKUP(E575,Index!$A:$A,Index!$B:$B),"")</f>
        <v>2084</v>
      </c>
      <c r="G575"/>
      <c r="H575"/>
      <c r="I575"/>
      <c r="J575"/>
      <c r="K575"/>
      <c r="L575"/>
    </row>
    <row r="576" spans="1:12" s="1" customFormat="1" ht="12.75" customHeight="1" x14ac:dyDescent="0.25">
      <c r="A576" s="26"/>
      <c r="B576" s="26"/>
      <c r="C576" s="35">
        <v>12</v>
      </c>
      <c r="D576" s="35">
        <v>300</v>
      </c>
      <c r="E576" s="35" t="s">
        <v>340</v>
      </c>
      <c r="F576" s="34">
        <f>IFERROR(_xlfn.XLOOKUP(E576,Index!$A:$A,Index!$B:$B),"")</f>
        <v>1943</v>
      </c>
      <c r="G576"/>
      <c r="H576"/>
      <c r="I576"/>
      <c r="J576"/>
      <c r="K576"/>
      <c r="L576"/>
    </row>
    <row r="577" spans="1:12" s="1" customFormat="1" ht="12.75" customHeight="1" x14ac:dyDescent="0.25">
      <c r="A577" s="26"/>
      <c r="B577" s="26"/>
      <c r="C577" s="35">
        <v>14</v>
      </c>
      <c r="D577" s="35">
        <v>350</v>
      </c>
      <c r="E577" s="35" t="s">
        <v>341</v>
      </c>
      <c r="F577" s="34">
        <f>IFERROR(_xlfn.XLOOKUP(E577,Index!$A:$A,Index!$B:$B),"")</f>
        <v>3150</v>
      </c>
      <c r="G577"/>
      <c r="H577"/>
      <c r="I577"/>
      <c r="J577"/>
      <c r="K577"/>
      <c r="L577"/>
    </row>
    <row r="578" spans="1:12" s="1" customFormat="1" ht="12.75" customHeight="1" x14ac:dyDescent="0.25">
      <c r="A578" s="26"/>
      <c r="B578" s="26"/>
      <c r="C578" s="35">
        <v>16</v>
      </c>
      <c r="D578" s="35">
        <v>400</v>
      </c>
      <c r="E578" s="35" t="s">
        <v>342</v>
      </c>
      <c r="F578" s="34">
        <f>IFERROR(_xlfn.XLOOKUP(E578,Index!$A:$A,Index!$B:$B),"")</f>
        <v>4435</v>
      </c>
      <c r="G578"/>
      <c r="H578"/>
      <c r="I578"/>
      <c r="J578"/>
      <c r="K578"/>
      <c r="L578"/>
    </row>
    <row r="579" spans="1:12" s="1" customFormat="1" ht="12.75" customHeight="1" x14ac:dyDescent="0.25">
      <c r="A579" s="26"/>
      <c r="B579" s="26"/>
      <c r="C579" s="35">
        <v>18</v>
      </c>
      <c r="D579" s="35">
        <v>450</v>
      </c>
      <c r="E579" s="35" t="s">
        <v>343</v>
      </c>
      <c r="F579" s="34">
        <f>IFERROR(_xlfn.XLOOKUP(E579,Index!$A:$A,Index!$B:$B),"")</f>
        <v>6303</v>
      </c>
      <c r="G579"/>
      <c r="H579"/>
      <c r="I579"/>
      <c r="J579"/>
      <c r="K579"/>
      <c r="L579"/>
    </row>
    <row r="580" spans="1:12" s="1" customFormat="1" ht="12.75" customHeight="1" x14ac:dyDescent="0.25">
      <c r="A580" s="26"/>
      <c r="B580" s="26"/>
      <c r="C580" s="35">
        <v>20</v>
      </c>
      <c r="D580" s="35">
        <v>500</v>
      </c>
      <c r="E580" s="268" t="s">
        <v>5542</v>
      </c>
      <c r="F580" s="250">
        <f t="shared" ref="F580:F581" si="3">F561</f>
        <v>7106</v>
      </c>
      <c r="G580"/>
      <c r="H580"/>
      <c r="I580"/>
      <c r="J580"/>
      <c r="K580"/>
      <c r="L580"/>
    </row>
    <row r="581" spans="1:12" s="1" customFormat="1" ht="12.75" customHeight="1" x14ac:dyDescent="0.25">
      <c r="A581" s="26"/>
      <c r="B581" s="27"/>
      <c r="C581" s="35">
        <v>24</v>
      </c>
      <c r="D581" s="35">
        <v>550</v>
      </c>
      <c r="E581" s="268" t="s">
        <v>5542</v>
      </c>
      <c r="F581" s="250">
        <f t="shared" si="3"/>
        <v>8453</v>
      </c>
      <c r="G581"/>
      <c r="H581"/>
      <c r="I581"/>
      <c r="J581"/>
      <c r="K581"/>
      <c r="L581"/>
    </row>
    <row r="582" spans="1:12" s="1" customFormat="1" ht="12.75" customHeight="1" x14ac:dyDescent="0.25">
      <c r="A582" s="26"/>
      <c r="B582" s="60" t="s">
        <v>145</v>
      </c>
      <c r="C582" s="65">
        <v>0.5</v>
      </c>
      <c r="D582" s="35">
        <v>15</v>
      </c>
      <c r="E582" s="268" t="s">
        <v>5542</v>
      </c>
      <c r="F582" s="250">
        <f t="shared" ref="F582:F583" si="4">F544</f>
        <v>83.25</v>
      </c>
      <c r="G582"/>
      <c r="H582"/>
      <c r="I582"/>
      <c r="J582"/>
      <c r="K582"/>
      <c r="L582"/>
    </row>
    <row r="583" spans="1:12" s="1" customFormat="1" ht="12.75" customHeight="1" x14ac:dyDescent="0.25">
      <c r="A583" s="26"/>
      <c r="B583" s="26"/>
      <c r="C583" s="61" t="s">
        <v>217</v>
      </c>
      <c r="D583" s="35">
        <v>20</v>
      </c>
      <c r="E583" s="268" t="s">
        <v>5542</v>
      </c>
      <c r="F583" s="250">
        <f t="shared" si="4"/>
        <v>83.25</v>
      </c>
      <c r="G583"/>
      <c r="H583"/>
      <c r="I583"/>
      <c r="J583"/>
      <c r="K583"/>
      <c r="L583"/>
    </row>
    <row r="584" spans="1:12" s="1" customFormat="1" ht="12.75" customHeight="1" x14ac:dyDescent="0.25">
      <c r="A584" s="26"/>
      <c r="B584" s="26"/>
      <c r="C584" s="35">
        <v>1</v>
      </c>
      <c r="D584" s="35">
        <v>25</v>
      </c>
      <c r="E584" s="35" t="s">
        <v>2856</v>
      </c>
      <c r="F584" s="34">
        <f>IFERROR(_xlfn.XLOOKUP(E584,Index!$A:$A,Index!$B:$B),"")</f>
        <v>83.25</v>
      </c>
      <c r="G584"/>
      <c r="H584"/>
      <c r="I584"/>
      <c r="J584"/>
      <c r="K584"/>
      <c r="L584"/>
    </row>
    <row r="585" spans="1:12" s="1" customFormat="1" ht="12.75" customHeight="1" x14ac:dyDescent="0.25">
      <c r="A585" s="26"/>
      <c r="B585" s="26"/>
      <c r="C585" s="35" t="s">
        <v>223</v>
      </c>
      <c r="D585" s="35">
        <v>32</v>
      </c>
      <c r="E585" s="268" t="s">
        <v>5542</v>
      </c>
      <c r="F585" s="250">
        <f>$F$566</f>
        <v>92</v>
      </c>
      <c r="G585"/>
      <c r="H585"/>
      <c r="I585"/>
      <c r="J585"/>
      <c r="K585"/>
      <c r="L585"/>
    </row>
    <row r="586" spans="1:12" s="1" customFormat="1" ht="12.75" customHeight="1" x14ac:dyDescent="0.25">
      <c r="A586" s="26"/>
      <c r="B586" s="26"/>
      <c r="C586" s="35" t="s">
        <v>225</v>
      </c>
      <c r="D586" s="35">
        <v>40</v>
      </c>
      <c r="E586" s="35" t="s">
        <v>344</v>
      </c>
      <c r="F586" s="34">
        <f>IFERROR(_xlfn.XLOOKUP(E586,Index!$A:$A,Index!$B:$B),"")</f>
        <v>92</v>
      </c>
      <c r="G586"/>
      <c r="H586"/>
      <c r="I586"/>
      <c r="J586"/>
      <c r="K586"/>
      <c r="L586"/>
    </row>
    <row r="587" spans="1:12" s="1" customFormat="1" ht="12.75" customHeight="1" x14ac:dyDescent="0.25">
      <c r="A587" s="26"/>
      <c r="B587" s="26"/>
      <c r="C587" s="35">
        <v>2</v>
      </c>
      <c r="D587" s="35">
        <v>50</v>
      </c>
      <c r="E587" s="35" t="s">
        <v>345</v>
      </c>
      <c r="F587" s="34">
        <f>IFERROR(_xlfn.XLOOKUP(E587,Index!$A:$A,Index!$B:$B),"")</f>
        <v>92</v>
      </c>
      <c r="G587"/>
      <c r="H587"/>
      <c r="I587"/>
      <c r="J587"/>
      <c r="K587"/>
      <c r="L587"/>
    </row>
    <row r="588" spans="1:12" s="1" customFormat="1" ht="12.75" customHeight="1" x14ac:dyDescent="0.25">
      <c r="A588" s="26"/>
      <c r="B588" s="26"/>
      <c r="C588" s="35" t="s">
        <v>231</v>
      </c>
      <c r="D588" s="35">
        <v>65</v>
      </c>
      <c r="E588" s="35" t="s">
        <v>346</v>
      </c>
      <c r="F588" s="34">
        <f>IFERROR(_xlfn.XLOOKUP(E588,Index!$A:$A,Index!$B:$B),"")</f>
        <v>108.5</v>
      </c>
      <c r="G588"/>
      <c r="H588"/>
      <c r="I588"/>
      <c r="J588"/>
      <c r="K588"/>
      <c r="L588"/>
    </row>
    <row r="589" spans="1:12" s="1" customFormat="1" ht="12.75" customHeight="1" x14ac:dyDescent="0.25">
      <c r="A589" s="26"/>
      <c r="B589" s="26"/>
      <c r="C589" s="35">
        <v>3</v>
      </c>
      <c r="D589" s="35">
        <v>80</v>
      </c>
      <c r="E589" s="35" t="s">
        <v>347</v>
      </c>
      <c r="F589" s="34">
        <f>IFERROR(_xlfn.XLOOKUP(E589,Index!$A:$A,Index!$B:$B),"")</f>
        <v>125</v>
      </c>
      <c r="G589"/>
      <c r="H589"/>
      <c r="I589"/>
      <c r="J589"/>
      <c r="K589"/>
      <c r="L589"/>
    </row>
    <row r="590" spans="1:12" s="1" customFormat="1" ht="12.75" customHeight="1" x14ac:dyDescent="0.25">
      <c r="A590" s="26"/>
      <c r="B590" s="26"/>
      <c r="C590" s="35">
        <v>4</v>
      </c>
      <c r="D590" s="35">
        <v>100</v>
      </c>
      <c r="E590" s="35" t="s">
        <v>348</v>
      </c>
      <c r="F590" s="34">
        <f>IFERROR(_xlfn.XLOOKUP(E590,Index!$A:$A,Index!$B:$B),"")</f>
        <v>204</v>
      </c>
      <c r="G590"/>
      <c r="H590"/>
      <c r="I590"/>
      <c r="J590"/>
      <c r="K590"/>
      <c r="L590"/>
    </row>
    <row r="591" spans="1:12" s="1" customFormat="1" ht="12.75" customHeight="1" x14ac:dyDescent="0.25">
      <c r="A591" s="26"/>
      <c r="B591" s="26"/>
      <c r="C591" s="35">
        <v>5</v>
      </c>
      <c r="D591" s="35">
        <v>125</v>
      </c>
      <c r="E591" s="35" t="s">
        <v>349</v>
      </c>
      <c r="F591" s="34">
        <f>IFERROR(_xlfn.XLOOKUP(E591,Index!$A:$A,Index!$B:$B),"")</f>
        <v>316</v>
      </c>
      <c r="G591"/>
      <c r="H591"/>
      <c r="I591"/>
      <c r="J591"/>
      <c r="K591"/>
      <c r="L591"/>
    </row>
    <row r="592" spans="1:12" s="1" customFormat="1" ht="12.75" customHeight="1" x14ac:dyDescent="0.25">
      <c r="A592" s="26"/>
      <c r="B592" s="26"/>
      <c r="C592" s="35">
        <v>6</v>
      </c>
      <c r="D592" s="35">
        <v>150</v>
      </c>
      <c r="E592" s="35" t="s">
        <v>350</v>
      </c>
      <c r="F592" s="34">
        <f>IFERROR(_xlfn.XLOOKUP(E592,Index!$A:$A,Index!$B:$B),"")</f>
        <v>394.5</v>
      </c>
      <c r="G592"/>
      <c r="H592"/>
      <c r="I592"/>
      <c r="J592"/>
      <c r="K592"/>
      <c r="L592"/>
    </row>
    <row r="593" spans="1:12" s="1" customFormat="1" ht="12.75" customHeight="1" x14ac:dyDescent="0.25">
      <c r="A593" s="26"/>
      <c r="B593" s="26"/>
      <c r="C593" s="35">
        <v>8</v>
      </c>
      <c r="D593" s="35">
        <v>200</v>
      </c>
      <c r="E593" s="35" t="s">
        <v>351</v>
      </c>
      <c r="F593" s="34">
        <f>IFERROR(_xlfn.XLOOKUP(E593,Index!$A:$A,Index!$B:$B),"")</f>
        <v>1246</v>
      </c>
      <c r="G593"/>
      <c r="H593"/>
      <c r="I593"/>
      <c r="J593"/>
      <c r="K593"/>
      <c r="L593"/>
    </row>
    <row r="594" spans="1:12" s="1" customFormat="1" ht="12.75" customHeight="1" x14ac:dyDescent="0.25">
      <c r="A594" s="26"/>
      <c r="B594" s="26"/>
      <c r="C594" s="35">
        <v>10</v>
      </c>
      <c r="D594" s="35">
        <v>250</v>
      </c>
      <c r="E594" s="35" t="s">
        <v>352</v>
      </c>
      <c r="F594" s="34">
        <f>IFERROR(_xlfn.XLOOKUP(E594,Index!$A:$A,Index!$B:$B),"")</f>
        <v>2084</v>
      </c>
      <c r="G594"/>
      <c r="H594"/>
      <c r="I594"/>
      <c r="J594"/>
      <c r="K594"/>
      <c r="L594"/>
    </row>
    <row r="595" spans="1:12" s="1" customFormat="1" ht="12.75" customHeight="1" x14ac:dyDescent="0.25">
      <c r="A595" s="26"/>
      <c r="B595" s="26"/>
      <c r="C595" s="35">
        <v>12</v>
      </c>
      <c r="D595" s="35">
        <v>300</v>
      </c>
      <c r="E595" s="35" t="s">
        <v>353</v>
      </c>
      <c r="F595" s="34">
        <f>IFERROR(_xlfn.XLOOKUP(E595,Index!$A:$A,Index!$B:$B),"")</f>
        <v>1943</v>
      </c>
      <c r="G595"/>
      <c r="H595"/>
      <c r="I595"/>
      <c r="J595"/>
      <c r="K595"/>
      <c r="L595"/>
    </row>
    <row r="596" spans="1:12" s="1" customFormat="1" ht="12.75" customHeight="1" x14ac:dyDescent="0.25">
      <c r="A596" s="26"/>
      <c r="B596" s="26"/>
      <c r="C596" s="35">
        <v>14</v>
      </c>
      <c r="D596" s="35">
        <v>350</v>
      </c>
      <c r="E596" s="268" t="s">
        <v>5542</v>
      </c>
      <c r="F596" s="250">
        <f t="shared" ref="F596:F600" si="5">F577</f>
        <v>3150</v>
      </c>
      <c r="G596"/>
      <c r="H596"/>
      <c r="I596"/>
      <c r="J596"/>
      <c r="K596"/>
      <c r="L596"/>
    </row>
    <row r="597" spans="1:12" s="1" customFormat="1" ht="12.75" customHeight="1" x14ac:dyDescent="0.25">
      <c r="A597" s="26"/>
      <c r="B597" s="26"/>
      <c r="C597" s="35">
        <v>16</v>
      </c>
      <c r="D597" s="35">
        <v>400</v>
      </c>
      <c r="E597" s="268" t="s">
        <v>5542</v>
      </c>
      <c r="F597" s="250">
        <f t="shared" si="5"/>
        <v>4435</v>
      </c>
      <c r="G597"/>
      <c r="H597"/>
      <c r="I597"/>
      <c r="J597"/>
      <c r="K597"/>
      <c r="L597"/>
    </row>
    <row r="598" spans="1:12" s="1" customFormat="1" ht="12.75" customHeight="1" x14ac:dyDescent="0.25">
      <c r="A598" s="26"/>
      <c r="B598" s="26"/>
      <c r="C598" s="35">
        <v>18</v>
      </c>
      <c r="D598" s="35">
        <v>450</v>
      </c>
      <c r="E598" s="268" t="s">
        <v>5542</v>
      </c>
      <c r="F598" s="250">
        <f t="shared" si="5"/>
        <v>6303</v>
      </c>
      <c r="G598"/>
      <c r="H598"/>
      <c r="I598"/>
      <c r="J598"/>
      <c r="K598"/>
      <c r="L598"/>
    </row>
    <row r="599" spans="1:12" s="1" customFormat="1" ht="12.75" customHeight="1" x14ac:dyDescent="0.25">
      <c r="A599" s="26"/>
      <c r="B599" s="26"/>
      <c r="C599" s="35">
        <v>20</v>
      </c>
      <c r="D599" s="35">
        <v>500</v>
      </c>
      <c r="E599" s="268" t="s">
        <v>5542</v>
      </c>
      <c r="F599" s="250">
        <f t="shared" si="5"/>
        <v>7106</v>
      </c>
      <c r="G599"/>
      <c r="H599"/>
      <c r="I599"/>
      <c r="J599"/>
      <c r="K599"/>
      <c r="L599"/>
    </row>
    <row r="600" spans="1:12" s="1" customFormat="1" ht="12.75" customHeight="1" x14ac:dyDescent="0.25">
      <c r="A600" s="26"/>
      <c r="B600" s="27"/>
      <c r="C600" s="35">
        <v>24</v>
      </c>
      <c r="D600" s="35">
        <v>550</v>
      </c>
      <c r="E600" s="268" t="s">
        <v>5542</v>
      </c>
      <c r="F600" s="250">
        <f t="shared" si="5"/>
        <v>8453</v>
      </c>
      <c r="G600"/>
      <c r="H600"/>
      <c r="I600"/>
      <c r="J600"/>
      <c r="K600"/>
      <c r="L600"/>
    </row>
    <row r="601" spans="1:12" s="1" customFormat="1" ht="12.75" customHeight="1" x14ac:dyDescent="0.25">
      <c r="A601" s="26"/>
      <c r="B601" s="60" t="s">
        <v>155</v>
      </c>
      <c r="C601" s="65">
        <v>0.5</v>
      </c>
      <c r="D601" s="35">
        <v>15</v>
      </c>
      <c r="E601" s="35" t="s">
        <v>2863</v>
      </c>
      <c r="F601" s="34">
        <f>IFERROR(_xlfn.XLOOKUP(E601,Index!$A:$A,Index!$B:$B),"")</f>
        <v>83.25</v>
      </c>
      <c r="G601"/>
      <c r="H601"/>
      <c r="I601"/>
      <c r="J601"/>
      <c r="K601"/>
      <c r="L601"/>
    </row>
    <row r="602" spans="1:12" s="1" customFormat="1" ht="12.75" customHeight="1" x14ac:dyDescent="0.25">
      <c r="A602" s="26"/>
      <c r="B602" s="26"/>
      <c r="C602" s="61" t="s">
        <v>217</v>
      </c>
      <c r="D602" s="35">
        <v>20</v>
      </c>
      <c r="E602" s="35" t="s">
        <v>2864</v>
      </c>
      <c r="F602" s="34">
        <f>IFERROR(_xlfn.XLOOKUP(E602,Index!$A:$A,Index!$B:$B),"")</f>
        <v>83.25</v>
      </c>
      <c r="G602"/>
      <c r="H602"/>
      <c r="I602"/>
      <c r="J602"/>
      <c r="K602"/>
      <c r="L602"/>
    </row>
    <row r="603" spans="1:12" s="1" customFormat="1" ht="12.75" customHeight="1" x14ac:dyDescent="0.25">
      <c r="A603" s="26"/>
      <c r="B603" s="26"/>
      <c r="C603" s="35">
        <v>1</v>
      </c>
      <c r="D603" s="35">
        <v>25</v>
      </c>
      <c r="E603" s="35" t="s">
        <v>354</v>
      </c>
      <c r="F603" s="34">
        <f>IFERROR(_xlfn.XLOOKUP(E603,Index!$A:$A,Index!$B:$B),"")</f>
        <v>83.25</v>
      </c>
      <c r="G603"/>
      <c r="H603"/>
      <c r="I603"/>
      <c r="J603"/>
      <c r="K603"/>
      <c r="L603"/>
    </row>
    <row r="604" spans="1:12" s="1" customFormat="1" ht="12.75" customHeight="1" x14ac:dyDescent="0.25">
      <c r="A604" s="26"/>
      <c r="B604" s="26"/>
      <c r="C604" s="35" t="s">
        <v>223</v>
      </c>
      <c r="D604" s="35">
        <v>32</v>
      </c>
      <c r="E604" s="268" t="s">
        <v>5542</v>
      </c>
      <c r="F604" s="250">
        <f>F585</f>
        <v>92</v>
      </c>
      <c r="G604"/>
      <c r="H604"/>
      <c r="I604"/>
      <c r="J604"/>
      <c r="K604"/>
      <c r="L604"/>
    </row>
    <row r="605" spans="1:12" s="1" customFormat="1" ht="12.75" customHeight="1" x14ac:dyDescent="0.25">
      <c r="A605" s="26"/>
      <c r="B605" s="26"/>
      <c r="C605" s="35" t="s">
        <v>225</v>
      </c>
      <c r="D605" s="35">
        <v>40</v>
      </c>
      <c r="E605" s="35" t="s">
        <v>2865</v>
      </c>
      <c r="F605" s="34">
        <f>IFERROR(_xlfn.XLOOKUP(E605,Index!$A:$A,Index!$B:$B),"")</f>
        <v>92</v>
      </c>
      <c r="G605"/>
      <c r="H605"/>
      <c r="I605"/>
      <c r="J605"/>
      <c r="K605"/>
      <c r="L605"/>
    </row>
    <row r="606" spans="1:12" s="1" customFormat="1" ht="12.75" customHeight="1" x14ac:dyDescent="0.25">
      <c r="A606" s="26"/>
      <c r="B606" s="26"/>
      <c r="C606" s="35">
        <v>2</v>
      </c>
      <c r="D606" s="35">
        <v>50</v>
      </c>
      <c r="E606" s="35" t="s">
        <v>355</v>
      </c>
      <c r="F606" s="34">
        <f>IFERROR(_xlfn.XLOOKUP(E606,Index!$A:$A,Index!$B:$B),"")</f>
        <v>92</v>
      </c>
      <c r="G606"/>
      <c r="H606"/>
      <c r="I606"/>
      <c r="J606"/>
      <c r="K606"/>
      <c r="L606"/>
    </row>
    <row r="607" spans="1:12" s="1" customFormat="1" ht="12.75" customHeight="1" x14ac:dyDescent="0.25">
      <c r="A607" s="26"/>
      <c r="B607" s="26"/>
      <c r="C607" s="35" t="s">
        <v>231</v>
      </c>
      <c r="D607" s="35">
        <v>65</v>
      </c>
      <c r="E607" s="35" t="s">
        <v>356</v>
      </c>
      <c r="F607" s="34">
        <f>IFERROR(_xlfn.XLOOKUP(E607,Index!$A:$A,Index!$B:$B),"")</f>
        <v>108.5</v>
      </c>
      <c r="G607"/>
      <c r="H607"/>
      <c r="I607"/>
      <c r="J607"/>
      <c r="K607"/>
      <c r="L607"/>
    </row>
    <row r="608" spans="1:12" s="1" customFormat="1" ht="12.75" customHeight="1" x14ac:dyDescent="0.25">
      <c r="A608" s="26"/>
      <c r="B608" s="26"/>
      <c r="C608" s="35">
        <v>3</v>
      </c>
      <c r="D608" s="35">
        <v>80</v>
      </c>
      <c r="E608" s="35" t="s">
        <v>357</v>
      </c>
      <c r="F608" s="34">
        <f>IFERROR(_xlfn.XLOOKUP(E608,Index!$A:$A,Index!$B:$B),"")</f>
        <v>125</v>
      </c>
      <c r="G608"/>
      <c r="H608"/>
      <c r="I608"/>
      <c r="J608"/>
      <c r="K608"/>
      <c r="L608"/>
    </row>
    <row r="609" spans="1:12" s="1" customFormat="1" ht="12.75" customHeight="1" x14ac:dyDescent="0.25">
      <c r="A609" s="26"/>
      <c r="B609" s="26"/>
      <c r="C609" s="35">
        <v>4</v>
      </c>
      <c r="D609" s="35">
        <v>100</v>
      </c>
      <c r="E609" s="35" t="s">
        <v>358</v>
      </c>
      <c r="F609" s="34">
        <f>IFERROR(_xlfn.XLOOKUP(E609,Index!$A:$A,Index!$B:$B),"")</f>
        <v>204</v>
      </c>
      <c r="G609"/>
      <c r="H609"/>
      <c r="I609"/>
      <c r="J609"/>
      <c r="K609"/>
      <c r="L609"/>
    </row>
    <row r="610" spans="1:12" s="1" customFormat="1" ht="12.75" customHeight="1" x14ac:dyDescent="0.25">
      <c r="A610" s="26"/>
      <c r="B610" s="26"/>
      <c r="C610" s="35">
        <v>5</v>
      </c>
      <c r="D610" s="35">
        <v>125</v>
      </c>
      <c r="E610" s="35" t="s">
        <v>359</v>
      </c>
      <c r="F610" s="34">
        <f>IFERROR(_xlfn.XLOOKUP(E610,Index!$A:$A,Index!$B:$B),"")</f>
        <v>316</v>
      </c>
      <c r="G610"/>
      <c r="H610"/>
      <c r="I610"/>
      <c r="J610"/>
      <c r="K610"/>
      <c r="L610"/>
    </row>
    <row r="611" spans="1:12" s="1" customFormat="1" ht="12.75" customHeight="1" x14ac:dyDescent="0.25">
      <c r="A611" s="26"/>
      <c r="B611" s="26"/>
      <c r="C611" s="35">
        <v>6</v>
      </c>
      <c r="D611" s="35">
        <v>150</v>
      </c>
      <c r="E611" s="35" t="s">
        <v>360</v>
      </c>
      <c r="F611" s="34">
        <f>IFERROR(_xlfn.XLOOKUP(E611,Index!$A:$A,Index!$B:$B),"")</f>
        <v>394.5</v>
      </c>
      <c r="G611"/>
      <c r="H611"/>
      <c r="I611"/>
      <c r="J611"/>
      <c r="K611"/>
      <c r="L611"/>
    </row>
    <row r="612" spans="1:12" s="1" customFormat="1" ht="12.75" customHeight="1" x14ac:dyDescent="0.25">
      <c r="A612" s="26"/>
      <c r="B612" s="26"/>
      <c r="C612" s="35">
        <v>8</v>
      </c>
      <c r="D612" s="35">
        <v>200</v>
      </c>
      <c r="E612" s="35" t="s">
        <v>361</v>
      </c>
      <c r="F612" s="34">
        <f>IFERROR(_xlfn.XLOOKUP(E612,Index!$A:$A,Index!$B:$B),"")</f>
        <v>1246</v>
      </c>
      <c r="G612"/>
      <c r="H612"/>
      <c r="I612"/>
      <c r="J612"/>
      <c r="K612"/>
      <c r="L612"/>
    </row>
    <row r="613" spans="1:12" s="1" customFormat="1" ht="12.75" customHeight="1" x14ac:dyDescent="0.25">
      <c r="A613" s="26"/>
      <c r="B613" s="26"/>
      <c r="C613" s="35">
        <v>10</v>
      </c>
      <c r="D613" s="35">
        <v>250</v>
      </c>
      <c r="E613" s="35" t="s">
        <v>362</v>
      </c>
      <c r="F613" s="34">
        <f>IFERROR(_xlfn.XLOOKUP(E613,Index!$A:$A,Index!$B:$B),"")</f>
        <v>2084</v>
      </c>
      <c r="G613"/>
      <c r="H613"/>
      <c r="I613"/>
      <c r="J613"/>
      <c r="K613"/>
      <c r="L613"/>
    </row>
    <row r="614" spans="1:12" s="1" customFormat="1" ht="12.75" customHeight="1" x14ac:dyDescent="0.25">
      <c r="A614" s="26"/>
      <c r="B614" s="26"/>
      <c r="C614" s="35">
        <v>12</v>
      </c>
      <c r="D614" s="35">
        <v>300</v>
      </c>
      <c r="E614" s="35" t="s">
        <v>363</v>
      </c>
      <c r="F614" s="34">
        <f>IFERROR(_xlfn.XLOOKUP(E614,Index!$A:$A,Index!$B:$B),"")</f>
        <v>6254</v>
      </c>
      <c r="G614"/>
      <c r="H614"/>
      <c r="I614"/>
      <c r="J614"/>
      <c r="K614"/>
      <c r="L614"/>
    </row>
    <row r="615" spans="1:12" s="1" customFormat="1" ht="12.75" customHeight="1" x14ac:dyDescent="0.25">
      <c r="A615" s="26"/>
      <c r="B615" s="26"/>
      <c r="C615" s="35">
        <v>14</v>
      </c>
      <c r="D615" s="35">
        <v>350</v>
      </c>
      <c r="E615" s="268" t="s">
        <v>5542</v>
      </c>
      <c r="F615" s="250">
        <f t="shared" ref="F615:F619" si="6">F596</f>
        <v>3150</v>
      </c>
      <c r="G615"/>
      <c r="H615"/>
      <c r="I615"/>
      <c r="J615"/>
      <c r="K615"/>
      <c r="L615"/>
    </row>
    <row r="616" spans="1:12" s="1" customFormat="1" ht="12.75" customHeight="1" x14ac:dyDescent="0.25">
      <c r="A616" s="26"/>
      <c r="B616" s="26"/>
      <c r="C616" s="35">
        <v>16</v>
      </c>
      <c r="D616" s="35">
        <v>400</v>
      </c>
      <c r="E616" s="268" t="s">
        <v>5542</v>
      </c>
      <c r="F616" s="250">
        <f t="shared" si="6"/>
        <v>4435</v>
      </c>
      <c r="G616"/>
      <c r="H616"/>
      <c r="I616"/>
      <c r="J616"/>
      <c r="K616"/>
      <c r="L616"/>
    </row>
    <row r="617" spans="1:12" s="1" customFormat="1" ht="12.75" customHeight="1" x14ac:dyDescent="0.25">
      <c r="A617" s="26"/>
      <c r="B617" s="26"/>
      <c r="C617" s="35">
        <v>18</v>
      </c>
      <c r="D617" s="35">
        <v>450</v>
      </c>
      <c r="E617" s="268" t="s">
        <v>5542</v>
      </c>
      <c r="F617" s="250">
        <f t="shared" si="6"/>
        <v>6303</v>
      </c>
      <c r="G617"/>
      <c r="H617"/>
      <c r="I617"/>
      <c r="J617"/>
      <c r="K617"/>
      <c r="L617"/>
    </row>
    <row r="618" spans="1:12" s="1" customFormat="1" ht="12.75" customHeight="1" x14ac:dyDescent="0.25">
      <c r="A618" s="26"/>
      <c r="B618" s="26"/>
      <c r="C618" s="35">
        <v>20</v>
      </c>
      <c r="D618" s="35">
        <v>500</v>
      </c>
      <c r="E618" s="268" t="s">
        <v>5542</v>
      </c>
      <c r="F618" s="250">
        <f t="shared" si="6"/>
        <v>7106</v>
      </c>
      <c r="G618"/>
      <c r="H618"/>
      <c r="I618"/>
      <c r="J618"/>
      <c r="K618"/>
      <c r="L618"/>
    </row>
    <row r="619" spans="1:12" s="1" customFormat="1" ht="12.75" customHeight="1" x14ac:dyDescent="0.25">
      <c r="A619" s="26"/>
      <c r="B619" s="27"/>
      <c r="C619" s="35">
        <v>24</v>
      </c>
      <c r="D619" s="35">
        <v>550</v>
      </c>
      <c r="E619" s="268" t="s">
        <v>5542</v>
      </c>
      <c r="F619" s="250">
        <f t="shared" si="6"/>
        <v>8453</v>
      </c>
      <c r="G619"/>
      <c r="H619"/>
      <c r="I619"/>
      <c r="J619"/>
      <c r="K619"/>
      <c r="L619"/>
    </row>
    <row r="620" spans="1:12" s="1" customFormat="1" ht="12.75" customHeight="1" x14ac:dyDescent="0.25">
      <c r="A620" s="26"/>
      <c r="B620" s="60" t="s">
        <v>933</v>
      </c>
      <c r="C620" s="65">
        <v>0.5</v>
      </c>
      <c r="D620" s="35">
        <v>15</v>
      </c>
      <c r="E620" s="35" t="s">
        <v>169</v>
      </c>
      <c r="F620" s="34">
        <f>IFERROR(_xlfn.XLOOKUP(E620,Index!$A:$A,Index!$B:$B),"")</f>
        <v>6</v>
      </c>
      <c r="G620"/>
      <c r="H620"/>
      <c r="I620"/>
      <c r="J620"/>
      <c r="K620"/>
      <c r="L620"/>
    </row>
    <row r="621" spans="1:12" s="1" customFormat="1" ht="12.75" customHeight="1" x14ac:dyDescent="0.25">
      <c r="A621" s="26"/>
      <c r="B621" s="26"/>
      <c r="C621" s="61" t="s">
        <v>217</v>
      </c>
      <c r="D621" s="35">
        <v>20</v>
      </c>
      <c r="E621" s="35" t="s">
        <v>364</v>
      </c>
      <c r="F621" s="34">
        <f>IFERROR(_xlfn.XLOOKUP(E621,Index!$A:$A,Index!$B:$B),"")</f>
        <v>7</v>
      </c>
      <c r="G621"/>
      <c r="H621"/>
      <c r="I621"/>
      <c r="J621"/>
      <c r="K621"/>
      <c r="L621"/>
    </row>
    <row r="622" spans="1:12" s="1" customFormat="1" ht="12.75" customHeight="1" x14ac:dyDescent="0.25">
      <c r="A622" s="26"/>
      <c r="B622" s="26"/>
      <c r="C622" s="35">
        <v>1</v>
      </c>
      <c r="D622" s="35">
        <v>25</v>
      </c>
      <c r="E622" s="35" t="s">
        <v>364</v>
      </c>
      <c r="F622" s="34">
        <f>IFERROR(_xlfn.XLOOKUP(E622,Index!$A:$A,Index!$B:$B),"")</f>
        <v>7</v>
      </c>
      <c r="G622"/>
      <c r="H622"/>
      <c r="I622"/>
      <c r="J622"/>
      <c r="K622"/>
      <c r="L622"/>
    </row>
    <row r="623" spans="1:12" s="1" customFormat="1" ht="12.75" customHeight="1" x14ac:dyDescent="0.25">
      <c r="A623" s="26"/>
      <c r="B623" s="26"/>
      <c r="C623" s="35" t="s">
        <v>223</v>
      </c>
      <c r="D623" s="35">
        <v>32</v>
      </c>
      <c r="E623" s="35" t="s">
        <v>364</v>
      </c>
      <c r="F623" s="34">
        <f>IFERROR(_xlfn.XLOOKUP(E623,Index!$A:$A,Index!$B:$B),"")</f>
        <v>7</v>
      </c>
      <c r="G623"/>
      <c r="H623"/>
      <c r="I623"/>
      <c r="J623"/>
      <c r="K623"/>
      <c r="L623"/>
    </row>
    <row r="624" spans="1:12" s="1" customFormat="1" ht="12.75" customHeight="1" x14ac:dyDescent="0.25">
      <c r="A624" s="26"/>
      <c r="B624" s="26"/>
      <c r="C624" s="35" t="s">
        <v>225</v>
      </c>
      <c r="D624" s="35">
        <v>40</v>
      </c>
      <c r="E624" s="35" t="s">
        <v>364</v>
      </c>
      <c r="F624" s="34">
        <f>IFERROR(_xlfn.XLOOKUP(E624,Index!$A:$A,Index!$B:$B),"")</f>
        <v>7</v>
      </c>
      <c r="G624"/>
      <c r="H624"/>
      <c r="I624"/>
      <c r="J624"/>
      <c r="K624"/>
      <c r="L624"/>
    </row>
    <row r="625" spans="1:16" s="1" customFormat="1" ht="12.75" customHeight="1" x14ac:dyDescent="0.25">
      <c r="A625" s="26"/>
      <c r="B625" s="26"/>
      <c r="C625" s="35">
        <v>2</v>
      </c>
      <c r="D625" s="35">
        <v>50</v>
      </c>
      <c r="E625" s="35" t="s">
        <v>364</v>
      </c>
      <c r="F625" s="34">
        <f>IFERROR(_xlfn.XLOOKUP(E625,Index!$A:$A,Index!$B:$B),"")</f>
        <v>7</v>
      </c>
      <c r="G625"/>
      <c r="H625"/>
      <c r="I625"/>
      <c r="J625"/>
      <c r="K625"/>
      <c r="L625"/>
    </row>
    <row r="626" spans="1:16" s="1" customFormat="1" ht="12.75" customHeight="1" x14ac:dyDescent="0.25">
      <c r="A626" s="26"/>
      <c r="B626" s="26"/>
      <c r="C626" s="35" t="s">
        <v>231</v>
      </c>
      <c r="D626" s="35">
        <v>65</v>
      </c>
      <c r="E626" s="35" t="s">
        <v>365</v>
      </c>
      <c r="F626" s="34">
        <f>IFERROR(_xlfn.XLOOKUP(E626,Index!$A:$A,Index!$B:$B),"")</f>
        <v>9.75</v>
      </c>
      <c r="G626"/>
      <c r="H626"/>
      <c r="I626"/>
      <c r="J626"/>
      <c r="K626"/>
      <c r="L626"/>
    </row>
    <row r="627" spans="1:16" s="1" customFormat="1" ht="12.75" customHeight="1" x14ac:dyDescent="0.25">
      <c r="A627" s="26"/>
      <c r="B627" s="26"/>
      <c r="C627" s="35">
        <v>3</v>
      </c>
      <c r="D627" s="35">
        <v>80</v>
      </c>
      <c r="E627" s="35" t="s">
        <v>365</v>
      </c>
      <c r="F627" s="34">
        <f>IFERROR(_xlfn.XLOOKUP(E627,Index!$A:$A,Index!$B:$B),"")</f>
        <v>9.75</v>
      </c>
      <c r="G627"/>
      <c r="H627"/>
      <c r="I627"/>
      <c r="J627"/>
      <c r="K627"/>
      <c r="L627"/>
    </row>
    <row r="628" spans="1:16" s="1" customFormat="1" ht="12.75" customHeight="1" x14ac:dyDescent="0.25">
      <c r="A628" s="26"/>
      <c r="B628" s="26"/>
      <c r="C628" s="35">
        <v>4</v>
      </c>
      <c r="D628" s="35">
        <v>100</v>
      </c>
      <c r="E628" s="35" t="s">
        <v>366</v>
      </c>
      <c r="F628" s="34">
        <f>IFERROR(_xlfn.XLOOKUP(E628,Index!$A:$A,Index!$B:$B),"")</f>
        <v>33.25</v>
      </c>
      <c r="G628"/>
      <c r="H628"/>
      <c r="I628"/>
      <c r="J628"/>
      <c r="K628"/>
      <c r="L628"/>
    </row>
    <row r="629" spans="1:16" s="1" customFormat="1" ht="12.75" customHeight="1" x14ac:dyDescent="0.25">
      <c r="A629" s="26"/>
      <c r="B629" s="26"/>
      <c r="C629" s="35">
        <v>5</v>
      </c>
      <c r="D629" s="35">
        <v>125</v>
      </c>
      <c r="E629" s="35" t="s">
        <v>367</v>
      </c>
      <c r="F629" s="34">
        <f>IFERROR(_xlfn.XLOOKUP(E629,Index!$A:$A,Index!$B:$B),"")</f>
        <v>50</v>
      </c>
      <c r="G629"/>
      <c r="H629"/>
      <c r="I629"/>
      <c r="J629"/>
      <c r="K629"/>
      <c r="L629"/>
    </row>
    <row r="630" spans="1:16" s="1" customFormat="1" ht="12.75" customHeight="1" x14ac:dyDescent="0.25">
      <c r="A630" s="26"/>
      <c r="B630" s="26"/>
      <c r="C630" s="35">
        <v>6</v>
      </c>
      <c r="D630" s="35">
        <v>150</v>
      </c>
      <c r="E630" s="35" t="s">
        <v>367</v>
      </c>
      <c r="F630" s="34">
        <f>IFERROR(_xlfn.XLOOKUP(E630,Index!$A:$A,Index!$B:$B),"")</f>
        <v>50</v>
      </c>
      <c r="G630"/>
      <c r="H630"/>
      <c r="I630"/>
      <c r="J630"/>
      <c r="K630"/>
      <c r="L630"/>
    </row>
    <row r="631" spans="1:16" s="1" customFormat="1" ht="12.75" customHeight="1" x14ac:dyDescent="0.25">
      <c r="A631" s="26"/>
      <c r="B631" s="26"/>
      <c r="C631" s="35">
        <v>8</v>
      </c>
      <c r="D631" s="35">
        <v>200</v>
      </c>
      <c r="E631" s="35" t="s">
        <v>367</v>
      </c>
      <c r="F631" s="34">
        <f>IFERROR(_xlfn.XLOOKUP(E631,Index!$A:$A,Index!$B:$B),"")</f>
        <v>50</v>
      </c>
      <c r="G631"/>
      <c r="H631"/>
      <c r="I631"/>
      <c r="J631"/>
      <c r="K631"/>
      <c r="L631"/>
    </row>
    <row r="632" spans="1:16" s="1" customFormat="1" ht="12.75" customHeight="1" x14ac:dyDescent="0.25">
      <c r="A632" s="26"/>
      <c r="B632" s="26"/>
      <c r="C632" s="35">
        <v>10</v>
      </c>
      <c r="D632" s="35">
        <v>250</v>
      </c>
      <c r="E632" s="35" t="s">
        <v>367</v>
      </c>
      <c r="F632" s="34">
        <f>IFERROR(_xlfn.XLOOKUP(E632,Index!$A:$A,Index!$B:$B),"")</f>
        <v>50</v>
      </c>
      <c r="G632"/>
      <c r="H632"/>
      <c r="I632"/>
      <c r="J632"/>
      <c r="K632"/>
      <c r="L632"/>
    </row>
    <row r="633" spans="1:16" s="1" customFormat="1" ht="12.75" customHeight="1" x14ac:dyDescent="0.25">
      <c r="A633" s="26"/>
      <c r="B633" s="26"/>
      <c r="C633" s="35">
        <v>12</v>
      </c>
      <c r="D633" s="35">
        <v>300</v>
      </c>
      <c r="E633" s="35" t="s">
        <v>367</v>
      </c>
      <c r="F633" s="34">
        <f>IFERROR(_xlfn.XLOOKUP(E633,Index!$A:$A,Index!$B:$B),"")</f>
        <v>50</v>
      </c>
      <c r="G633"/>
      <c r="H633"/>
      <c r="I633"/>
      <c r="J633"/>
      <c r="K633"/>
      <c r="L633"/>
    </row>
    <row r="634" spans="1:16" s="1" customFormat="1" ht="12.75" customHeight="1" x14ac:dyDescent="0.25">
      <c r="A634" s="26"/>
      <c r="B634" s="26"/>
      <c r="C634" s="35">
        <v>14</v>
      </c>
      <c r="D634" s="35">
        <v>350</v>
      </c>
      <c r="E634" s="35" t="s">
        <v>367</v>
      </c>
      <c r="F634" s="34">
        <f>IFERROR(_xlfn.XLOOKUP(E634,Index!$A:$A,Index!$B:$B),"")</f>
        <v>50</v>
      </c>
      <c r="G634"/>
      <c r="H634"/>
      <c r="I634"/>
      <c r="J634"/>
      <c r="K634"/>
      <c r="L634"/>
    </row>
    <row r="635" spans="1:16" s="1" customFormat="1" ht="12.75" customHeight="1" x14ac:dyDescent="0.25">
      <c r="A635" s="26"/>
      <c r="B635" s="26"/>
      <c r="C635" s="35">
        <v>16</v>
      </c>
      <c r="D635" s="35">
        <v>400</v>
      </c>
      <c r="E635" s="35" t="s">
        <v>367</v>
      </c>
      <c r="F635" s="34">
        <f>IFERROR(_xlfn.XLOOKUP(E635,Index!$A:$A,Index!$B:$B),"")</f>
        <v>50</v>
      </c>
      <c r="G635"/>
      <c r="H635"/>
      <c r="I635"/>
      <c r="J635"/>
      <c r="K635"/>
      <c r="L635"/>
    </row>
    <row r="636" spans="1:16" s="1" customFormat="1" ht="12.75" customHeight="1" x14ac:dyDescent="0.25">
      <c r="A636" s="26"/>
      <c r="B636" s="26"/>
      <c r="C636" s="35">
        <v>18</v>
      </c>
      <c r="D636" s="35">
        <v>450</v>
      </c>
      <c r="E636" s="35" t="s">
        <v>367</v>
      </c>
      <c r="F636" s="34">
        <f>IFERROR(_xlfn.XLOOKUP(E636,Index!$A:$A,Index!$B:$B),"")</f>
        <v>50</v>
      </c>
      <c r="G636"/>
      <c r="H636"/>
      <c r="I636"/>
      <c r="J636"/>
      <c r="K636"/>
      <c r="L636"/>
    </row>
    <row r="637" spans="1:16" s="1" customFormat="1" ht="12.75" customHeight="1" x14ac:dyDescent="0.25">
      <c r="A637" s="26"/>
      <c r="B637" s="26"/>
      <c r="C637" s="35">
        <v>20</v>
      </c>
      <c r="D637" s="35">
        <v>500</v>
      </c>
      <c r="E637" s="35" t="s">
        <v>367</v>
      </c>
      <c r="F637" s="34">
        <f>IFERROR(_xlfn.XLOOKUP(E637,Index!$A:$A,Index!$B:$B),"")</f>
        <v>50</v>
      </c>
      <c r="G637"/>
      <c r="H637"/>
      <c r="I637"/>
      <c r="J637"/>
      <c r="K637"/>
      <c r="L637"/>
    </row>
    <row r="638" spans="1:16" s="1" customFormat="1" ht="12.75" customHeight="1" x14ac:dyDescent="0.25">
      <c r="A638" s="27"/>
      <c r="B638" s="27"/>
      <c r="C638" s="35">
        <v>24</v>
      </c>
      <c r="D638" s="35">
        <v>550</v>
      </c>
      <c r="E638" s="35" t="s">
        <v>367</v>
      </c>
      <c r="F638" s="34">
        <f>IFERROR(_xlfn.XLOOKUP(E638,Index!$A:$A,Index!$B:$B),"")</f>
        <v>50</v>
      </c>
      <c r="G638"/>
      <c r="H638"/>
      <c r="I638"/>
      <c r="J638"/>
      <c r="K638"/>
      <c r="L638"/>
    </row>
    <row r="640" spans="1:16" s="1" customFormat="1" ht="15.75" x14ac:dyDescent="0.25">
      <c r="A640" s="62" t="s">
        <v>934</v>
      </c>
      <c r="B640" s="63" t="s">
        <v>174</v>
      </c>
      <c r="C640" s="14"/>
      <c r="D640" s="3"/>
      <c r="E640" s="8"/>
      <c r="F640" s="110"/>
      <c r="G640" s="111"/>
      <c r="H640" s="19"/>
      <c r="I640" s="19"/>
      <c r="J640" s="20"/>
      <c r="K640"/>
      <c r="L640"/>
      <c r="M640"/>
      <c r="N640"/>
      <c r="O640"/>
      <c r="P640"/>
    </row>
    <row r="641" spans="1:16" s="1" customFormat="1" ht="15.75" x14ac:dyDescent="0.25">
      <c r="A641" s="48" t="s">
        <v>935</v>
      </c>
      <c r="B641" s="11"/>
      <c r="C641" s="4"/>
      <c r="D641" s="4"/>
      <c r="E641" s="5"/>
      <c r="F641" s="110"/>
      <c r="G641" s="4"/>
      <c r="H641" s="19"/>
      <c r="I641" s="19"/>
      <c r="J641" s="20"/>
      <c r="K641"/>
      <c r="L641"/>
      <c r="M641"/>
      <c r="N641"/>
      <c r="O641"/>
      <c r="P641"/>
    </row>
    <row r="642" spans="1:16" s="1" customFormat="1" x14ac:dyDescent="0.25">
      <c r="A642" s="25" t="s">
        <v>35</v>
      </c>
      <c r="B642" s="28" t="s">
        <v>36</v>
      </c>
      <c r="C642" s="29" t="s">
        <v>37</v>
      </c>
      <c r="D642" s="22"/>
      <c r="E642" s="22" t="s">
        <v>38</v>
      </c>
      <c r="F642" s="22"/>
      <c r="G642" s="23" t="s">
        <v>39</v>
      </c>
      <c r="H642" s="23"/>
      <c r="I642" s="42" t="s">
        <v>40</v>
      </c>
      <c r="J642" s="24" t="s">
        <v>41</v>
      </c>
      <c r="K642"/>
      <c r="L642"/>
      <c r="M642"/>
      <c r="N642"/>
      <c r="O642"/>
      <c r="P642"/>
    </row>
    <row r="643" spans="1:16" s="1" customFormat="1" x14ac:dyDescent="0.25">
      <c r="A643" s="32"/>
      <c r="B643" s="32"/>
      <c r="C643" s="33" t="s">
        <v>42</v>
      </c>
      <c r="D643" s="33" t="s">
        <v>43</v>
      </c>
      <c r="E643" s="33" t="s">
        <v>44</v>
      </c>
      <c r="F643" s="33" t="s">
        <v>45</v>
      </c>
      <c r="G643" s="33" t="s">
        <v>46</v>
      </c>
      <c r="H643" s="39" t="s">
        <v>47</v>
      </c>
      <c r="I643" s="33"/>
      <c r="J643" s="41"/>
      <c r="K643"/>
      <c r="L643"/>
      <c r="M643"/>
      <c r="N643"/>
      <c r="O643"/>
      <c r="P643"/>
    </row>
    <row r="644" spans="1:16" s="1" customFormat="1" x14ac:dyDescent="0.25">
      <c r="A644" s="26" t="s">
        <v>936</v>
      </c>
      <c r="B644" s="26" t="s">
        <v>937</v>
      </c>
      <c r="C644" s="30" t="s">
        <v>50</v>
      </c>
      <c r="D644" s="35" t="s">
        <v>176</v>
      </c>
      <c r="E644" s="64">
        <v>0.5</v>
      </c>
      <c r="F644" s="98">
        <v>15</v>
      </c>
      <c r="G644" s="35">
        <v>5.5</v>
      </c>
      <c r="H644" s="40">
        <v>2.5</v>
      </c>
      <c r="I644" s="38" t="s">
        <v>938</v>
      </c>
      <c r="J644" s="34">
        <f>IFERROR(_xlfn.XLOOKUP(I644,Index!$A:$A,Index!$B:$B),"")</f>
        <v>1266</v>
      </c>
      <c r="K644"/>
      <c r="L644"/>
      <c r="M644"/>
      <c r="N644"/>
      <c r="O644"/>
      <c r="P644"/>
    </row>
    <row r="645" spans="1:16" s="1" customFormat="1" x14ac:dyDescent="0.25">
      <c r="A645" s="26"/>
      <c r="B645" s="26"/>
      <c r="C645" s="30"/>
      <c r="D645" s="35" t="s">
        <v>53</v>
      </c>
      <c r="E645" s="64">
        <v>0.5</v>
      </c>
      <c r="F645" s="98">
        <v>15</v>
      </c>
      <c r="G645" s="35">
        <v>5.5</v>
      </c>
      <c r="H645" s="40">
        <v>2.5</v>
      </c>
      <c r="I645" s="38" t="s">
        <v>939</v>
      </c>
      <c r="J645" s="34">
        <f>IFERROR(_xlfn.XLOOKUP(I645,Index!$A:$A,Index!$B:$B),"")</f>
        <v>1330</v>
      </c>
      <c r="K645"/>
      <c r="L645"/>
      <c r="M645"/>
      <c r="N645"/>
      <c r="O645"/>
      <c r="P645"/>
    </row>
    <row r="646" spans="1:16" s="1" customFormat="1" x14ac:dyDescent="0.25">
      <c r="A646" s="26"/>
      <c r="B646" s="26"/>
      <c r="C646" s="30"/>
      <c r="D646" s="35" t="s">
        <v>55</v>
      </c>
      <c r="E646" s="64">
        <v>0.5</v>
      </c>
      <c r="F646" s="98">
        <v>15</v>
      </c>
      <c r="G646" s="35">
        <v>5.5</v>
      </c>
      <c r="H646" s="40">
        <v>2.5</v>
      </c>
      <c r="I646" s="268" t="s">
        <v>5597</v>
      </c>
      <c r="J646" s="34">
        <f>IFERROR(_xlfn.XLOOKUP(I646,Index!$A:$A,Index!$B:$B),"")</f>
        <v>1330</v>
      </c>
      <c r="K646"/>
      <c r="L646"/>
      <c r="M646"/>
      <c r="N646"/>
      <c r="O646"/>
      <c r="P646"/>
    </row>
    <row r="647" spans="1:16" s="1" customFormat="1" x14ac:dyDescent="0.25">
      <c r="A647" s="26"/>
      <c r="B647" s="26"/>
      <c r="C647" s="30"/>
      <c r="D647" s="35" t="s">
        <v>176</v>
      </c>
      <c r="E647" s="36" t="s">
        <v>217</v>
      </c>
      <c r="F647" s="98">
        <v>20</v>
      </c>
      <c r="G647" s="35">
        <v>10.3</v>
      </c>
      <c r="H647" s="40">
        <v>4.5999999999999996</v>
      </c>
      <c r="I647" s="38" t="s">
        <v>940</v>
      </c>
      <c r="J647" s="34">
        <f>IFERROR(_xlfn.XLOOKUP(I647,Index!$A:$A,Index!$B:$B),"")</f>
        <v>1712</v>
      </c>
      <c r="K647"/>
      <c r="L647"/>
      <c r="M647"/>
      <c r="N647"/>
      <c r="O647"/>
      <c r="P647"/>
    </row>
    <row r="648" spans="1:16" s="1" customFormat="1" x14ac:dyDescent="0.25">
      <c r="A648" s="26"/>
      <c r="B648" s="26"/>
      <c r="C648" s="30"/>
      <c r="D648" s="35" t="s">
        <v>53</v>
      </c>
      <c r="E648" s="36" t="s">
        <v>217</v>
      </c>
      <c r="F648" s="98">
        <v>20</v>
      </c>
      <c r="G648" s="35">
        <v>10.3</v>
      </c>
      <c r="H648" s="40">
        <v>4.5999999999999996</v>
      </c>
      <c r="I648" s="38" t="s">
        <v>941</v>
      </c>
      <c r="J648" s="34">
        <f>IFERROR(_xlfn.XLOOKUP(I648,Index!$A:$A,Index!$B:$B),"")</f>
        <v>1798</v>
      </c>
      <c r="K648"/>
      <c r="L648"/>
      <c r="M648"/>
      <c r="N648"/>
      <c r="O648"/>
      <c r="P648"/>
    </row>
    <row r="649" spans="1:16" s="1" customFormat="1" x14ac:dyDescent="0.25">
      <c r="A649" s="26"/>
      <c r="B649" s="26"/>
      <c r="C649" s="30"/>
      <c r="D649" s="35" t="s">
        <v>55</v>
      </c>
      <c r="E649" s="36" t="s">
        <v>217</v>
      </c>
      <c r="F649" s="98">
        <v>20</v>
      </c>
      <c r="G649" s="35">
        <v>10.3</v>
      </c>
      <c r="H649" s="40">
        <v>4.5999999999999996</v>
      </c>
      <c r="I649" s="38" t="s">
        <v>942</v>
      </c>
      <c r="J649" s="34">
        <f>IFERROR(_xlfn.XLOOKUP(I649,Index!$A:$A,Index!$B:$B),"")</f>
        <v>1798</v>
      </c>
      <c r="K649"/>
      <c r="L649"/>
      <c r="M649"/>
      <c r="N649"/>
      <c r="O649"/>
      <c r="P649"/>
    </row>
    <row r="650" spans="1:16" s="1" customFormat="1" x14ac:dyDescent="0.25">
      <c r="A650" s="26"/>
      <c r="B650" s="26"/>
      <c r="C650" s="30"/>
      <c r="D650" s="35" t="s">
        <v>176</v>
      </c>
      <c r="E650" s="36">
        <v>1</v>
      </c>
      <c r="F650" s="98">
        <v>25</v>
      </c>
      <c r="G650" s="35">
        <v>10.3</v>
      </c>
      <c r="H650" s="40">
        <v>4.5999999999999996</v>
      </c>
      <c r="I650" s="38" t="s">
        <v>943</v>
      </c>
      <c r="J650" s="34">
        <f>IFERROR(_xlfn.XLOOKUP(I650,Index!$A:$A,Index!$B:$B),"")</f>
        <v>1520</v>
      </c>
      <c r="K650"/>
      <c r="L650"/>
      <c r="M650"/>
      <c r="N650"/>
      <c r="O650"/>
      <c r="P650"/>
    </row>
    <row r="651" spans="1:16" s="1" customFormat="1" x14ac:dyDescent="0.25">
      <c r="A651" s="26"/>
      <c r="B651" s="26"/>
      <c r="C651" s="30"/>
      <c r="D651" s="35" t="s">
        <v>53</v>
      </c>
      <c r="E651" s="36">
        <v>1</v>
      </c>
      <c r="F651" s="98">
        <v>25</v>
      </c>
      <c r="G651" s="35">
        <v>10.3</v>
      </c>
      <c r="H651" s="40">
        <v>4.5999999999999996</v>
      </c>
      <c r="I651" s="38" t="s">
        <v>5542</v>
      </c>
      <c r="J651" s="34">
        <f>J652</f>
        <v>1595</v>
      </c>
      <c r="K651"/>
      <c r="L651"/>
      <c r="M651"/>
      <c r="N651"/>
      <c r="O651"/>
      <c r="P651"/>
    </row>
    <row r="652" spans="1:16" s="1" customFormat="1" x14ac:dyDescent="0.25">
      <c r="A652" s="26"/>
      <c r="B652" s="26"/>
      <c r="C652" s="30"/>
      <c r="D652" s="35" t="s">
        <v>55</v>
      </c>
      <c r="E652" s="36">
        <v>1</v>
      </c>
      <c r="F652" s="98">
        <v>25</v>
      </c>
      <c r="G652" s="35">
        <v>10.4</v>
      </c>
      <c r="H652" s="40">
        <v>4.5999999999999996</v>
      </c>
      <c r="I652" s="38" t="s">
        <v>945</v>
      </c>
      <c r="J652" s="34">
        <f>IFERROR(_xlfn.XLOOKUP(I652,Index!$A:$A,Index!$B:$B),"")</f>
        <v>1595</v>
      </c>
      <c r="K652"/>
      <c r="L652"/>
      <c r="M652"/>
      <c r="N652"/>
      <c r="O652"/>
      <c r="P652"/>
    </row>
    <row r="653" spans="1:16" s="1" customFormat="1" x14ac:dyDescent="0.25">
      <c r="A653" s="26"/>
      <c r="B653" s="26"/>
      <c r="C653" s="30"/>
      <c r="D653" s="35" t="s">
        <v>176</v>
      </c>
      <c r="E653" s="36" t="s">
        <v>223</v>
      </c>
      <c r="F653" s="98">
        <v>32</v>
      </c>
      <c r="G653" s="35">
        <v>9.8000000000000007</v>
      </c>
      <c r="H653" s="40">
        <v>4.4000000000000004</v>
      </c>
      <c r="I653" s="38" t="s">
        <v>946</v>
      </c>
      <c r="J653" s="34">
        <f>IFERROR(_xlfn.XLOOKUP(I653,Index!$A:$A,Index!$B:$B),"")</f>
        <v>1664</v>
      </c>
      <c r="K653"/>
      <c r="L653"/>
      <c r="M653"/>
      <c r="N653"/>
      <c r="O653"/>
      <c r="P653"/>
    </row>
    <row r="654" spans="1:16" s="1" customFormat="1" x14ac:dyDescent="0.25">
      <c r="A654" s="26"/>
      <c r="B654" s="26"/>
      <c r="C654" s="30"/>
      <c r="D654" s="35" t="s">
        <v>53</v>
      </c>
      <c r="E654" s="36" t="s">
        <v>223</v>
      </c>
      <c r="F654" s="98">
        <v>32</v>
      </c>
      <c r="G654" s="35">
        <v>9.8000000000000007</v>
      </c>
      <c r="H654" s="40">
        <v>4.4000000000000004</v>
      </c>
      <c r="I654" s="268" t="s">
        <v>5542</v>
      </c>
      <c r="J654" s="34">
        <f>J655</f>
        <v>1747</v>
      </c>
      <c r="K654"/>
      <c r="L654"/>
      <c r="M654"/>
      <c r="N654"/>
      <c r="O654"/>
      <c r="P654"/>
    </row>
    <row r="655" spans="1:16" s="1" customFormat="1" x14ac:dyDescent="0.25">
      <c r="A655" s="26"/>
      <c r="B655" s="26"/>
      <c r="C655" s="30"/>
      <c r="D655" s="35" t="s">
        <v>55</v>
      </c>
      <c r="E655" s="36" t="s">
        <v>223</v>
      </c>
      <c r="F655" s="98">
        <v>32</v>
      </c>
      <c r="G655" s="35">
        <v>9.8000000000000007</v>
      </c>
      <c r="H655" s="40">
        <v>4.4000000000000004</v>
      </c>
      <c r="I655" s="38" t="s">
        <v>947</v>
      </c>
      <c r="J655" s="34">
        <f>IFERROR(_xlfn.XLOOKUP(I655,Index!$A:$A,Index!$B:$B),"")</f>
        <v>1747</v>
      </c>
      <c r="K655"/>
      <c r="L655"/>
      <c r="M655"/>
      <c r="N655"/>
      <c r="O655"/>
      <c r="P655"/>
    </row>
    <row r="656" spans="1:16" s="1" customFormat="1" x14ac:dyDescent="0.25">
      <c r="A656" s="26"/>
      <c r="B656" s="26"/>
      <c r="C656" s="30"/>
      <c r="D656" s="35" t="s">
        <v>176</v>
      </c>
      <c r="E656" s="36" t="s">
        <v>225</v>
      </c>
      <c r="F656" s="98">
        <v>40</v>
      </c>
      <c r="G656" s="35">
        <v>12.5</v>
      </c>
      <c r="H656" s="40">
        <v>5.7</v>
      </c>
      <c r="I656" s="38" t="s">
        <v>948</v>
      </c>
      <c r="J656" s="34">
        <f>IFERROR(_xlfn.XLOOKUP(I656,Index!$A:$A,Index!$B:$B),"")</f>
        <v>1686</v>
      </c>
      <c r="K656"/>
      <c r="L656"/>
      <c r="M656"/>
      <c r="N656"/>
      <c r="O656"/>
      <c r="P656"/>
    </row>
    <row r="657" spans="1:16" s="1" customFormat="1" x14ac:dyDescent="0.25">
      <c r="A657" s="26"/>
      <c r="B657" s="26"/>
      <c r="C657" s="30"/>
      <c r="D657" s="35" t="s">
        <v>53</v>
      </c>
      <c r="E657" s="36" t="s">
        <v>225</v>
      </c>
      <c r="F657" s="98">
        <v>40</v>
      </c>
      <c r="G657" s="35">
        <v>12.5</v>
      </c>
      <c r="H657" s="40">
        <v>5.7</v>
      </c>
      <c r="I657" s="38" t="s">
        <v>949</v>
      </c>
      <c r="J657" s="34">
        <f>IFERROR(_xlfn.XLOOKUP(I657,Index!$A:$A,Index!$B:$B),"")</f>
        <v>1770</v>
      </c>
      <c r="K657"/>
      <c r="L657"/>
      <c r="M657"/>
      <c r="N657"/>
      <c r="O657"/>
      <c r="P657"/>
    </row>
    <row r="658" spans="1:16" s="1" customFormat="1" x14ac:dyDescent="0.25">
      <c r="A658" s="26"/>
      <c r="B658" s="26"/>
      <c r="C658" s="30"/>
      <c r="D658" s="35" t="s">
        <v>55</v>
      </c>
      <c r="E658" s="36" t="s">
        <v>225</v>
      </c>
      <c r="F658" s="98">
        <v>40</v>
      </c>
      <c r="G658" s="35">
        <v>12.5</v>
      </c>
      <c r="H658" s="40">
        <v>5.7</v>
      </c>
      <c r="I658" s="38" t="s">
        <v>950</v>
      </c>
      <c r="J658" s="34">
        <f>IFERROR(_xlfn.XLOOKUP(I658,Index!$A:$A,Index!$B:$B),"")</f>
        <v>1770</v>
      </c>
      <c r="K658"/>
      <c r="L658"/>
      <c r="M658"/>
      <c r="N658"/>
      <c r="O658"/>
      <c r="P658"/>
    </row>
    <row r="659" spans="1:16" s="1" customFormat="1" x14ac:dyDescent="0.25">
      <c r="A659" s="26"/>
      <c r="B659" s="26"/>
      <c r="C659" s="30"/>
      <c r="D659" s="35" t="s">
        <v>176</v>
      </c>
      <c r="E659" s="36">
        <v>2</v>
      </c>
      <c r="F659" s="98">
        <v>50</v>
      </c>
      <c r="G659" s="35">
        <v>16</v>
      </c>
      <c r="H659" s="40">
        <v>7.3</v>
      </c>
      <c r="I659" s="38" t="s">
        <v>951</v>
      </c>
      <c r="J659" s="34">
        <f>IFERROR(_xlfn.XLOOKUP(I659,Index!$A:$A,Index!$B:$B),"")</f>
        <v>1686</v>
      </c>
      <c r="K659"/>
      <c r="L659"/>
      <c r="M659"/>
      <c r="N659"/>
      <c r="O659"/>
      <c r="P659"/>
    </row>
    <row r="660" spans="1:16" s="1" customFormat="1" x14ac:dyDescent="0.25">
      <c r="A660" s="26"/>
      <c r="B660" s="26"/>
      <c r="C660" s="30"/>
      <c r="D660" s="35" t="s">
        <v>53</v>
      </c>
      <c r="E660" s="36">
        <v>2</v>
      </c>
      <c r="F660" s="98">
        <v>50</v>
      </c>
      <c r="G660" s="35">
        <v>16</v>
      </c>
      <c r="H660" s="40">
        <v>7.3</v>
      </c>
      <c r="I660" s="38" t="s">
        <v>952</v>
      </c>
      <c r="J660" s="34">
        <f>IFERROR(_xlfn.XLOOKUP(I660,Index!$A:$A,Index!$B:$B),"")</f>
        <v>1770</v>
      </c>
      <c r="K660"/>
      <c r="L660"/>
      <c r="M660"/>
      <c r="N660"/>
      <c r="O660"/>
      <c r="P660"/>
    </row>
    <row r="661" spans="1:16" s="1" customFormat="1" x14ac:dyDescent="0.25">
      <c r="A661" s="26"/>
      <c r="B661" s="26"/>
      <c r="C661" s="30"/>
      <c r="D661" s="35" t="s">
        <v>55</v>
      </c>
      <c r="E661" s="36">
        <v>2</v>
      </c>
      <c r="F661" s="98">
        <v>50</v>
      </c>
      <c r="G661" s="35">
        <v>16</v>
      </c>
      <c r="H661" s="40">
        <v>7.3</v>
      </c>
      <c r="I661" s="38" t="s">
        <v>953</v>
      </c>
      <c r="J661" s="34">
        <f>IFERROR(_xlfn.XLOOKUP(I661,Index!$A:$A,Index!$B:$B),"")</f>
        <v>1770</v>
      </c>
      <c r="K661"/>
      <c r="L661"/>
      <c r="M661"/>
      <c r="N661"/>
      <c r="O661"/>
      <c r="P661"/>
    </row>
    <row r="662" spans="1:16" s="1" customFormat="1" x14ac:dyDescent="0.25">
      <c r="A662" s="26"/>
      <c r="B662" s="26"/>
      <c r="C662" s="30"/>
      <c r="D662" s="35" t="s">
        <v>176</v>
      </c>
      <c r="E662" s="36" t="s">
        <v>231</v>
      </c>
      <c r="F662" s="98">
        <v>65</v>
      </c>
      <c r="G662" s="35">
        <v>27</v>
      </c>
      <c r="H662" s="40">
        <v>12.2</v>
      </c>
      <c r="I662" s="38" t="s">
        <v>954</v>
      </c>
      <c r="J662" s="34">
        <f>IFERROR(_xlfn.XLOOKUP(I662,Index!$A:$A,Index!$B:$B),"")</f>
        <v>1690</v>
      </c>
      <c r="K662"/>
      <c r="L662"/>
      <c r="M662"/>
      <c r="N662"/>
      <c r="O662"/>
      <c r="P662"/>
    </row>
    <row r="663" spans="1:16" s="1" customFormat="1" x14ac:dyDescent="0.25">
      <c r="A663" s="26"/>
      <c r="B663" s="26"/>
      <c r="C663" s="30"/>
      <c r="D663" s="35" t="s">
        <v>53</v>
      </c>
      <c r="E663" s="36" t="s">
        <v>231</v>
      </c>
      <c r="F663" s="98">
        <v>65</v>
      </c>
      <c r="G663" s="35">
        <v>27</v>
      </c>
      <c r="H663" s="40">
        <v>12.2</v>
      </c>
      <c r="I663" s="38" t="s">
        <v>5542</v>
      </c>
      <c r="J663" s="34">
        <f>J664</f>
        <v>1774</v>
      </c>
      <c r="K663"/>
      <c r="L663"/>
      <c r="M663"/>
      <c r="N663"/>
      <c r="O663"/>
      <c r="P663"/>
    </row>
    <row r="664" spans="1:16" s="1" customFormat="1" x14ac:dyDescent="0.25">
      <c r="A664" s="26"/>
      <c r="B664" s="26"/>
      <c r="C664" s="30"/>
      <c r="D664" s="35" t="s">
        <v>55</v>
      </c>
      <c r="E664" s="36" t="s">
        <v>231</v>
      </c>
      <c r="F664" s="98">
        <v>65</v>
      </c>
      <c r="G664" s="35">
        <v>27</v>
      </c>
      <c r="H664" s="40">
        <v>12.2</v>
      </c>
      <c r="I664" s="38" t="s">
        <v>956</v>
      </c>
      <c r="J664" s="34">
        <f>IFERROR(_xlfn.XLOOKUP(I664,Index!$A:$A,Index!$B:$B),"")</f>
        <v>1774</v>
      </c>
      <c r="K664"/>
      <c r="L664"/>
      <c r="M664"/>
      <c r="N664"/>
      <c r="O664"/>
      <c r="P664"/>
    </row>
    <row r="665" spans="1:16" s="1" customFormat="1" x14ac:dyDescent="0.25">
      <c r="A665" s="26"/>
      <c r="B665" s="26"/>
      <c r="C665" s="30"/>
      <c r="D665" s="35" t="s">
        <v>176</v>
      </c>
      <c r="E665" s="36">
        <v>3</v>
      </c>
      <c r="F665" s="98">
        <v>80</v>
      </c>
      <c r="G665" s="35">
        <v>30</v>
      </c>
      <c r="H665" s="40">
        <v>13.6</v>
      </c>
      <c r="I665" s="38" t="s">
        <v>957</v>
      </c>
      <c r="J665" s="34">
        <f>IFERROR(_xlfn.XLOOKUP(I665,Index!$A:$A,Index!$B:$B),"")</f>
        <v>1738</v>
      </c>
      <c r="K665"/>
      <c r="L665"/>
      <c r="M665"/>
      <c r="N665"/>
      <c r="O665"/>
      <c r="P665"/>
    </row>
    <row r="666" spans="1:16" s="1" customFormat="1" x14ac:dyDescent="0.25">
      <c r="A666" s="26"/>
      <c r="B666" s="26"/>
      <c r="C666" s="30"/>
      <c r="D666" s="35" t="s">
        <v>53</v>
      </c>
      <c r="E666" s="36">
        <v>3</v>
      </c>
      <c r="F666" s="98">
        <v>80</v>
      </c>
      <c r="G666" s="35">
        <v>30</v>
      </c>
      <c r="H666" s="40">
        <v>13.6</v>
      </c>
      <c r="I666" s="38" t="s">
        <v>5542</v>
      </c>
      <c r="J666" s="34">
        <f>J667</f>
        <v>1825</v>
      </c>
      <c r="K666"/>
      <c r="L666"/>
      <c r="M666"/>
      <c r="N666"/>
      <c r="O666"/>
      <c r="P666"/>
    </row>
    <row r="667" spans="1:16" s="1" customFormat="1" x14ac:dyDescent="0.25">
      <c r="A667" s="26"/>
      <c r="B667" s="26"/>
      <c r="C667" s="30"/>
      <c r="D667" s="35" t="s">
        <v>55</v>
      </c>
      <c r="E667" s="36">
        <v>3</v>
      </c>
      <c r="F667" s="98">
        <v>80</v>
      </c>
      <c r="G667" s="35">
        <v>30</v>
      </c>
      <c r="H667" s="40">
        <v>13.6</v>
      </c>
      <c r="I667" s="38" t="s">
        <v>959</v>
      </c>
      <c r="J667" s="34">
        <f>IFERROR(_xlfn.XLOOKUP(I667,Index!$A:$A,Index!$B:$B),"")</f>
        <v>1825</v>
      </c>
      <c r="K667"/>
      <c r="L667"/>
      <c r="M667"/>
      <c r="N667"/>
      <c r="O667"/>
      <c r="P667"/>
    </row>
    <row r="668" spans="1:16" s="1" customFormat="1" x14ac:dyDescent="0.25">
      <c r="A668" s="26"/>
      <c r="B668" s="26"/>
      <c r="C668" s="30"/>
      <c r="D668" s="35" t="s">
        <v>176</v>
      </c>
      <c r="E668" s="36">
        <v>4</v>
      </c>
      <c r="F668" s="98">
        <v>100</v>
      </c>
      <c r="G668" s="35">
        <v>51</v>
      </c>
      <c r="H668" s="40">
        <v>23</v>
      </c>
      <c r="I668" s="38" t="s">
        <v>960</v>
      </c>
      <c r="J668" s="34">
        <f>IFERROR(_xlfn.XLOOKUP(I668,Index!$A:$A,Index!$B:$B),"")</f>
        <v>2606</v>
      </c>
      <c r="K668"/>
      <c r="L668"/>
      <c r="M668"/>
      <c r="N668"/>
      <c r="O668"/>
      <c r="P668"/>
    </row>
    <row r="669" spans="1:16" s="1" customFormat="1" x14ac:dyDescent="0.25">
      <c r="A669" s="26"/>
      <c r="B669" s="26"/>
      <c r="C669" s="30"/>
      <c r="D669" s="35" t="s">
        <v>53</v>
      </c>
      <c r="E669" s="36">
        <v>4</v>
      </c>
      <c r="F669" s="98">
        <v>100</v>
      </c>
      <c r="G669" s="35">
        <v>51</v>
      </c>
      <c r="H669" s="40">
        <v>23</v>
      </c>
      <c r="I669" s="38" t="s">
        <v>961</v>
      </c>
      <c r="J669" s="34">
        <f>IFERROR(_xlfn.XLOOKUP(I669,Index!$A:$A,Index!$B:$B),"")</f>
        <v>2738</v>
      </c>
      <c r="K669"/>
      <c r="L669"/>
      <c r="M669"/>
      <c r="N669"/>
      <c r="O669"/>
      <c r="P669"/>
    </row>
    <row r="670" spans="1:16" s="1" customFormat="1" x14ac:dyDescent="0.25">
      <c r="A670" s="26"/>
      <c r="B670" s="26"/>
      <c r="C670" s="30"/>
      <c r="D670" s="35" t="s">
        <v>55</v>
      </c>
      <c r="E670" s="36">
        <v>4</v>
      </c>
      <c r="F670" s="98">
        <v>100</v>
      </c>
      <c r="G670" s="35">
        <v>51</v>
      </c>
      <c r="H670" s="40">
        <v>23</v>
      </c>
      <c r="I670" s="38" t="s">
        <v>962</v>
      </c>
      <c r="J670" s="34">
        <f>IFERROR(_xlfn.XLOOKUP(I670,Index!$A:$A,Index!$B:$B),"")</f>
        <v>2738</v>
      </c>
      <c r="K670"/>
      <c r="L670"/>
      <c r="M670"/>
      <c r="N670"/>
      <c r="O670"/>
      <c r="P670"/>
    </row>
    <row r="671" spans="1:16" s="1" customFormat="1" x14ac:dyDescent="0.25">
      <c r="A671" s="26"/>
      <c r="B671" s="26"/>
      <c r="C671" s="30"/>
      <c r="D671" s="35" t="s">
        <v>241</v>
      </c>
      <c r="E671" s="36">
        <v>5</v>
      </c>
      <c r="F671" s="98">
        <v>125</v>
      </c>
      <c r="G671" s="35">
        <v>81</v>
      </c>
      <c r="H671" s="40">
        <v>36.700000000000003</v>
      </c>
      <c r="I671" s="38" t="s">
        <v>963</v>
      </c>
      <c r="J671" s="34">
        <f>IFERROR(_xlfn.XLOOKUP(I671,Index!$A:$A,Index!$B:$B),"")</f>
        <v>4217</v>
      </c>
      <c r="K671"/>
      <c r="L671"/>
      <c r="M671"/>
      <c r="N671"/>
      <c r="O671"/>
      <c r="P671"/>
    </row>
    <row r="672" spans="1:16" s="1" customFormat="1" x14ac:dyDescent="0.25">
      <c r="A672" s="26"/>
      <c r="B672" s="26"/>
      <c r="C672" s="30"/>
      <c r="D672" s="35" t="s">
        <v>53</v>
      </c>
      <c r="E672" s="36">
        <v>5</v>
      </c>
      <c r="F672" s="98">
        <v>125</v>
      </c>
      <c r="G672" s="35">
        <v>81</v>
      </c>
      <c r="H672" s="40">
        <v>36.700000000000003</v>
      </c>
      <c r="I672" s="38" t="s">
        <v>964</v>
      </c>
      <c r="J672" s="34">
        <f>IFERROR(_xlfn.XLOOKUP(I672,Index!$A:$A,Index!$B:$B),"")</f>
        <v>4428</v>
      </c>
      <c r="K672"/>
      <c r="L672"/>
      <c r="M672"/>
      <c r="N672"/>
      <c r="O672"/>
      <c r="P672"/>
    </row>
    <row r="673" spans="1:16" s="1" customFormat="1" x14ac:dyDescent="0.25">
      <c r="A673" s="26"/>
      <c r="B673" s="26"/>
      <c r="C673" s="30"/>
      <c r="D673" s="35" t="s">
        <v>55</v>
      </c>
      <c r="E673" s="36">
        <v>5</v>
      </c>
      <c r="F673" s="98">
        <v>125</v>
      </c>
      <c r="G673" s="35">
        <v>81</v>
      </c>
      <c r="H673" s="40">
        <v>36.700000000000003</v>
      </c>
      <c r="I673" s="38" t="s">
        <v>965</v>
      </c>
      <c r="J673" s="34">
        <f>IFERROR(_xlfn.XLOOKUP(I673,Index!$A:$A,Index!$B:$B),"")</f>
        <v>4428</v>
      </c>
      <c r="K673"/>
      <c r="L673"/>
      <c r="M673"/>
      <c r="N673"/>
      <c r="O673"/>
      <c r="P673"/>
    </row>
    <row r="674" spans="1:16" s="1" customFormat="1" x14ac:dyDescent="0.25">
      <c r="A674" s="26"/>
      <c r="B674" s="26"/>
      <c r="C674" s="30"/>
      <c r="D674" s="35" t="s">
        <v>241</v>
      </c>
      <c r="E674" s="36">
        <v>6</v>
      </c>
      <c r="F674" s="98">
        <v>150</v>
      </c>
      <c r="G674" s="35">
        <v>109</v>
      </c>
      <c r="H674" s="40">
        <v>49.4</v>
      </c>
      <c r="I674" s="38" t="s">
        <v>966</v>
      </c>
      <c r="J674" s="34">
        <f>IFERROR(_xlfn.XLOOKUP(I674,Index!$A:$A,Index!$B:$B),"")</f>
        <v>4922</v>
      </c>
      <c r="K674"/>
      <c r="L674"/>
      <c r="M674"/>
      <c r="N674"/>
      <c r="O674"/>
      <c r="P674"/>
    </row>
    <row r="675" spans="1:16" s="1" customFormat="1" x14ac:dyDescent="0.25">
      <c r="A675" s="26"/>
      <c r="B675" s="26"/>
      <c r="C675" s="30"/>
      <c r="D675" s="35" t="s">
        <v>53</v>
      </c>
      <c r="E675" s="36">
        <v>6</v>
      </c>
      <c r="F675" s="98">
        <v>150</v>
      </c>
      <c r="G675" s="35">
        <v>109</v>
      </c>
      <c r="H675" s="40">
        <v>49.4</v>
      </c>
      <c r="I675" s="38" t="s">
        <v>967</v>
      </c>
      <c r="J675" s="34">
        <f>IFERROR(_xlfn.XLOOKUP(I675,Index!$A:$A,Index!$B:$B),"")</f>
        <v>5168</v>
      </c>
      <c r="K675"/>
      <c r="L675"/>
      <c r="M675"/>
      <c r="N675"/>
      <c r="O675"/>
      <c r="P675"/>
    </row>
    <row r="676" spans="1:16" s="1" customFormat="1" x14ac:dyDescent="0.25">
      <c r="A676" s="26"/>
      <c r="B676" s="26"/>
      <c r="C676" s="30"/>
      <c r="D676" s="35" t="s">
        <v>55</v>
      </c>
      <c r="E676" s="36">
        <v>6</v>
      </c>
      <c r="F676" s="98">
        <v>150</v>
      </c>
      <c r="G676" s="35">
        <v>109</v>
      </c>
      <c r="H676" s="40">
        <v>49.4</v>
      </c>
      <c r="I676" s="38" t="s">
        <v>968</v>
      </c>
      <c r="J676" s="34">
        <f>IFERROR(_xlfn.XLOOKUP(I676,Index!$A:$A,Index!$B:$B),"")</f>
        <v>5168</v>
      </c>
      <c r="K676"/>
      <c r="L676"/>
      <c r="M676"/>
      <c r="N676"/>
      <c r="O676"/>
      <c r="P676"/>
    </row>
    <row r="677" spans="1:16" s="1" customFormat="1" x14ac:dyDescent="0.25">
      <c r="A677" s="26"/>
      <c r="B677" s="26"/>
      <c r="C677" s="30"/>
      <c r="D677" s="35" t="s">
        <v>241</v>
      </c>
      <c r="E677" s="36">
        <v>8</v>
      </c>
      <c r="F677" s="98">
        <v>200</v>
      </c>
      <c r="G677" s="35">
        <v>190</v>
      </c>
      <c r="H677" s="40">
        <v>86.2</v>
      </c>
      <c r="I677" s="38" t="s">
        <v>969</v>
      </c>
      <c r="J677" s="34">
        <f>IFERROR(_xlfn.XLOOKUP(I677,Index!$A:$A,Index!$B:$B),"")</f>
        <v>8897</v>
      </c>
      <c r="K677"/>
      <c r="L677"/>
      <c r="M677"/>
      <c r="N677"/>
      <c r="O677"/>
      <c r="P677"/>
    </row>
    <row r="678" spans="1:16" s="1" customFormat="1" x14ac:dyDescent="0.25">
      <c r="A678" s="26"/>
      <c r="B678" s="26"/>
      <c r="C678" s="30"/>
      <c r="D678" s="35" t="s">
        <v>53</v>
      </c>
      <c r="E678" s="36">
        <v>8</v>
      </c>
      <c r="F678" s="98">
        <v>200</v>
      </c>
      <c r="G678" s="35">
        <v>190</v>
      </c>
      <c r="H678" s="40">
        <v>86.2</v>
      </c>
      <c r="I678" s="38" t="s">
        <v>970</v>
      </c>
      <c r="J678" s="34">
        <f>IFERROR(_xlfn.XLOOKUP(I678,Index!$A:$A,Index!$B:$B),"")</f>
        <v>9341</v>
      </c>
      <c r="K678"/>
      <c r="L678"/>
      <c r="M678"/>
      <c r="N678"/>
      <c r="O678"/>
      <c r="P678"/>
    </row>
    <row r="679" spans="1:16" s="1" customFormat="1" x14ac:dyDescent="0.25">
      <c r="A679" s="26"/>
      <c r="B679" s="26"/>
      <c r="C679" s="30"/>
      <c r="D679" s="35" t="s">
        <v>55</v>
      </c>
      <c r="E679" s="36">
        <v>8</v>
      </c>
      <c r="F679" s="98">
        <v>200</v>
      </c>
      <c r="G679" s="35">
        <v>190</v>
      </c>
      <c r="H679" s="40">
        <v>86.2</v>
      </c>
      <c r="I679" s="38" t="s">
        <v>971</v>
      </c>
      <c r="J679" s="34">
        <f>IFERROR(_xlfn.XLOOKUP(I679,Index!$A:$A,Index!$B:$B),"")</f>
        <v>9341</v>
      </c>
      <c r="K679"/>
      <c r="L679"/>
      <c r="M679"/>
      <c r="N679"/>
      <c r="O679"/>
      <c r="P679"/>
    </row>
    <row r="680" spans="1:16" s="1" customFormat="1" x14ac:dyDescent="0.25">
      <c r="A680" s="26"/>
      <c r="B680" s="26"/>
      <c r="C680" s="30"/>
      <c r="D680" s="35" t="s">
        <v>241</v>
      </c>
      <c r="E680" s="36">
        <v>10</v>
      </c>
      <c r="F680" s="98">
        <v>250</v>
      </c>
      <c r="G680" s="35">
        <v>266</v>
      </c>
      <c r="H680" s="40">
        <v>120.7</v>
      </c>
      <c r="I680" s="38" t="s">
        <v>972</v>
      </c>
      <c r="J680" s="34">
        <f>IFERROR(_xlfn.XLOOKUP(I680,Index!$A:$A,Index!$B:$B),"")</f>
        <v>15218</v>
      </c>
      <c r="K680"/>
      <c r="L680"/>
      <c r="M680"/>
      <c r="N680"/>
      <c r="O680"/>
      <c r="P680"/>
    </row>
    <row r="681" spans="1:16" s="1" customFormat="1" x14ac:dyDescent="0.25">
      <c r="A681" s="26"/>
      <c r="B681" s="26"/>
      <c r="C681" s="30"/>
      <c r="D681" s="35" t="s">
        <v>53</v>
      </c>
      <c r="E681" s="36">
        <v>10</v>
      </c>
      <c r="F681" s="98">
        <v>250</v>
      </c>
      <c r="G681" s="35">
        <v>266</v>
      </c>
      <c r="H681" s="40">
        <v>120.7</v>
      </c>
      <c r="I681" s="38" t="s">
        <v>973</v>
      </c>
      <c r="J681" s="34">
        <f>IFERROR(_xlfn.XLOOKUP(I681,Index!$A:$A,Index!$B:$B),"")</f>
        <v>15979</v>
      </c>
      <c r="K681"/>
      <c r="L681"/>
      <c r="M681"/>
      <c r="N681"/>
      <c r="O681"/>
      <c r="P681"/>
    </row>
    <row r="682" spans="1:16" s="1" customFormat="1" x14ac:dyDescent="0.25">
      <c r="A682" s="26"/>
      <c r="B682" s="26"/>
      <c r="C682" s="30"/>
      <c r="D682" s="35" t="s">
        <v>55</v>
      </c>
      <c r="E682" s="36">
        <v>10</v>
      </c>
      <c r="F682" s="98">
        <v>250</v>
      </c>
      <c r="G682" s="35">
        <v>266</v>
      </c>
      <c r="H682" s="40">
        <v>120.7</v>
      </c>
      <c r="I682" s="268" t="s">
        <v>5598</v>
      </c>
      <c r="J682" s="34">
        <f>IFERROR(_xlfn.XLOOKUP(I682,Index!$A:$A,Index!$B:$B),"")</f>
        <v>15979</v>
      </c>
      <c r="K682"/>
      <c r="L682"/>
      <c r="M682"/>
      <c r="N682"/>
      <c r="O682"/>
      <c r="P682"/>
    </row>
    <row r="683" spans="1:16" s="1" customFormat="1" x14ac:dyDescent="0.25">
      <c r="A683" s="26"/>
      <c r="B683" s="26"/>
      <c r="C683" s="30"/>
      <c r="D683" s="35" t="s">
        <v>241</v>
      </c>
      <c r="E683" s="36">
        <v>12</v>
      </c>
      <c r="F683" s="98">
        <v>300</v>
      </c>
      <c r="G683" s="35">
        <v>422</v>
      </c>
      <c r="H683" s="40">
        <v>191.4</v>
      </c>
      <c r="I683" s="38" t="s">
        <v>974</v>
      </c>
      <c r="J683" s="34">
        <f>IFERROR(_xlfn.XLOOKUP(I683,Index!$A:$A,Index!$B:$B),"")</f>
        <v>23868</v>
      </c>
      <c r="K683"/>
      <c r="L683"/>
      <c r="M683"/>
      <c r="N683"/>
      <c r="O683"/>
      <c r="P683"/>
    </row>
    <row r="684" spans="1:16" s="1" customFormat="1" x14ac:dyDescent="0.25">
      <c r="A684" s="26"/>
      <c r="B684" s="26"/>
      <c r="C684" s="30"/>
      <c r="D684" s="35" t="s">
        <v>53</v>
      </c>
      <c r="E684" s="36">
        <v>12</v>
      </c>
      <c r="F684" s="98">
        <v>300</v>
      </c>
      <c r="G684" s="35">
        <v>422</v>
      </c>
      <c r="H684" s="40">
        <v>191.4</v>
      </c>
      <c r="I684" s="268" t="s">
        <v>5599</v>
      </c>
      <c r="J684" s="34">
        <f>IFERROR(_xlfn.XLOOKUP(I684,Index!$A:$A,Index!$B:$B),"")</f>
        <v>25062</v>
      </c>
      <c r="K684"/>
      <c r="L684"/>
      <c r="M684"/>
      <c r="N684"/>
      <c r="O684"/>
      <c r="P684"/>
    </row>
    <row r="685" spans="1:16" s="1" customFormat="1" x14ac:dyDescent="0.25">
      <c r="A685" s="26"/>
      <c r="B685" s="26"/>
      <c r="C685" s="30"/>
      <c r="D685" s="35" t="s">
        <v>55</v>
      </c>
      <c r="E685" s="36">
        <v>12</v>
      </c>
      <c r="F685" s="98">
        <v>300</v>
      </c>
      <c r="G685" s="35">
        <v>422</v>
      </c>
      <c r="H685" s="40">
        <v>191.4</v>
      </c>
      <c r="I685" s="268" t="s">
        <v>5600</v>
      </c>
      <c r="J685" s="34">
        <f>IFERROR(_xlfn.XLOOKUP(I685,Index!$A:$A,Index!$B:$B),"")</f>
        <v>25062</v>
      </c>
      <c r="K685"/>
      <c r="L685"/>
      <c r="M685"/>
      <c r="N685"/>
      <c r="O685"/>
      <c r="P685"/>
    </row>
    <row r="686" spans="1:16" s="1" customFormat="1" x14ac:dyDescent="0.25">
      <c r="A686" s="26"/>
      <c r="B686" s="26"/>
      <c r="C686" s="30"/>
      <c r="D686" s="35" t="s">
        <v>241</v>
      </c>
      <c r="E686" s="36">
        <v>14</v>
      </c>
      <c r="F686" s="98">
        <v>350</v>
      </c>
      <c r="G686" s="35"/>
      <c r="H686" s="40"/>
      <c r="I686" s="38" t="s">
        <v>975</v>
      </c>
      <c r="J686" s="34">
        <f>IFERROR(_xlfn.XLOOKUP(I686,Index!$A:$A,Index!$B:$B),"")</f>
        <v>29835</v>
      </c>
      <c r="K686"/>
      <c r="L686"/>
      <c r="M686"/>
      <c r="N686"/>
      <c r="O686"/>
      <c r="P686"/>
    </row>
    <row r="687" spans="1:16" s="1" customFormat="1" x14ac:dyDescent="0.25">
      <c r="A687" s="26"/>
      <c r="B687" s="26"/>
      <c r="C687" s="30"/>
      <c r="D687" s="35" t="s">
        <v>53</v>
      </c>
      <c r="E687" s="36">
        <v>14</v>
      </c>
      <c r="F687" s="98">
        <v>350</v>
      </c>
      <c r="G687" s="35"/>
      <c r="H687" s="40"/>
      <c r="I687" s="268" t="s">
        <v>5542</v>
      </c>
      <c r="J687" s="34">
        <f>J686+1171</f>
        <v>31006</v>
      </c>
      <c r="K687"/>
      <c r="L687"/>
      <c r="M687"/>
      <c r="N687"/>
      <c r="O687"/>
      <c r="P687"/>
    </row>
    <row r="688" spans="1:16" s="1" customFormat="1" x14ac:dyDescent="0.25">
      <c r="A688" s="26"/>
      <c r="B688" s="26"/>
      <c r="C688" s="30"/>
      <c r="D688" s="35" t="s">
        <v>55</v>
      </c>
      <c r="E688" s="36">
        <v>14</v>
      </c>
      <c r="F688" s="98">
        <v>350</v>
      </c>
      <c r="G688" s="35"/>
      <c r="H688" s="40"/>
      <c r="I688" s="268" t="s">
        <v>5542</v>
      </c>
      <c r="J688" s="34">
        <f>J687</f>
        <v>31006</v>
      </c>
      <c r="K688"/>
      <c r="L688"/>
      <c r="M688"/>
      <c r="N688"/>
      <c r="O688"/>
      <c r="P688"/>
    </row>
    <row r="689" spans="1:16" s="1" customFormat="1" x14ac:dyDescent="0.25">
      <c r="A689" s="26"/>
      <c r="B689" s="26"/>
      <c r="C689" s="30"/>
      <c r="D689" s="35" t="s">
        <v>241</v>
      </c>
      <c r="E689" s="36">
        <v>16</v>
      </c>
      <c r="F689" s="98">
        <v>400</v>
      </c>
      <c r="G689" s="35"/>
      <c r="H689" s="40"/>
      <c r="I689" s="38" t="s">
        <v>976</v>
      </c>
      <c r="J689" s="34">
        <f>IFERROR(_xlfn.XLOOKUP(I689,Index!$A:$A,Index!$B:$B),"")</f>
        <v>37293</v>
      </c>
      <c r="K689"/>
      <c r="L689"/>
      <c r="M689"/>
      <c r="N689"/>
      <c r="O689"/>
      <c r="P689"/>
    </row>
    <row r="690" spans="1:16" s="1" customFormat="1" x14ac:dyDescent="0.25">
      <c r="A690" s="26"/>
      <c r="B690" s="26"/>
      <c r="C690" s="30"/>
      <c r="D690" s="35" t="s">
        <v>53</v>
      </c>
      <c r="E690" s="36">
        <v>16</v>
      </c>
      <c r="F690" s="98">
        <v>400</v>
      </c>
      <c r="G690" s="35"/>
      <c r="H690" s="40"/>
      <c r="I690" s="268" t="s">
        <v>5542</v>
      </c>
      <c r="J690" s="34">
        <f>J689+1464</f>
        <v>38757</v>
      </c>
      <c r="K690"/>
      <c r="L690"/>
      <c r="M690"/>
      <c r="N690"/>
      <c r="O690"/>
      <c r="P690"/>
    </row>
    <row r="691" spans="1:16" s="1" customFormat="1" x14ac:dyDescent="0.25">
      <c r="A691" s="26"/>
      <c r="B691" s="26"/>
      <c r="C691" s="30"/>
      <c r="D691" s="35" t="s">
        <v>55</v>
      </c>
      <c r="E691" s="36">
        <v>16</v>
      </c>
      <c r="F691" s="98">
        <v>400</v>
      </c>
      <c r="G691" s="35"/>
      <c r="H691" s="40"/>
      <c r="I691" s="268" t="s">
        <v>5542</v>
      </c>
      <c r="J691" s="34">
        <f>J690</f>
        <v>38757</v>
      </c>
      <c r="K691"/>
      <c r="L691"/>
      <c r="M691"/>
      <c r="N691"/>
      <c r="O691"/>
      <c r="P691"/>
    </row>
    <row r="692" spans="1:16" s="1" customFormat="1" x14ac:dyDescent="0.25">
      <c r="A692" s="26"/>
      <c r="B692" s="26"/>
      <c r="C692" s="30"/>
      <c r="D692" s="35" t="s">
        <v>241</v>
      </c>
      <c r="E692" s="36">
        <v>18</v>
      </c>
      <c r="F692" s="98">
        <v>450</v>
      </c>
      <c r="G692" s="35"/>
      <c r="H692" s="40"/>
      <c r="I692" s="38" t="s">
        <v>977</v>
      </c>
      <c r="J692" s="34">
        <f>IFERROR(_xlfn.XLOOKUP(I692,Index!$A:$A,Index!$B:$B),"")</f>
        <v>44753</v>
      </c>
      <c r="K692"/>
      <c r="L692"/>
      <c r="M692"/>
      <c r="N692"/>
      <c r="O692"/>
      <c r="P692"/>
    </row>
    <row r="693" spans="1:16" s="1" customFormat="1" x14ac:dyDescent="0.25">
      <c r="A693" s="26"/>
      <c r="B693" s="26"/>
      <c r="C693" s="30"/>
      <c r="D693" s="35" t="s">
        <v>53</v>
      </c>
      <c r="E693" s="36">
        <v>18</v>
      </c>
      <c r="F693" s="98">
        <v>450</v>
      </c>
      <c r="G693" s="35"/>
      <c r="H693" s="40"/>
      <c r="I693" s="268" t="s">
        <v>5542</v>
      </c>
      <c r="J693" s="34">
        <f>J692+1756</f>
        <v>46509</v>
      </c>
      <c r="K693"/>
      <c r="L693"/>
      <c r="M693"/>
      <c r="N693"/>
      <c r="O693"/>
      <c r="P693"/>
    </row>
    <row r="694" spans="1:16" s="1" customFormat="1" x14ac:dyDescent="0.25">
      <c r="A694" s="27"/>
      <c r="B694" s="27"/>
      <c r="C694" s="31"/>
      <c r="D694" s="35" t="s">
        <v>55</v>
      </c>
      <c r="E694" s="36">
        <v>18</v>
      </c>
      <c r="F694" s="98">
        <v>450</v>
      </c>
      <c r="G694" s="35"/>
      <c r="H694" s="40"/>
      <c r="I694" s="268" t="s">
        <v>5542</v>
      </c>
      <c r="J694" s="34">
        <f>J693</f>
        <v>46509</v>
      </c>
      <c r="K694"/>
      <c r="L694"/>
      <c r="M694"/>
      <c r="N694"/>
      <c r="O694"/>
      <c r="P694"/>
    </row>
    <row r="695" spans="1:16" s="1" customFormat="1" x14ac:dyDescent="0.25">
      <c r="A695" s="12"/>
      <c r="B695" s="12"/>
      <c r="C695" s="4"/>
      <c r="D695" s="4"/>
      <c r="E695" s="5"/>
      <c r="F695" s="112"/>
      <c r="G695" s="4"/>
      <c r="H695" s="19"/>
      <c r="I695" s="19"/>
      <c r="J695" s="20"/>
      <c r="K695"/>
      <c r="L695"/>
      <c r="M695"/>
      <c r="N695"/>
      <c r="O695"/>
      <c r="P695"/>
    </row>
    <row r="696" spans="1:16" s="1" customFormat="1" x14ac:dyDescent="0.25">
      <c r="A696" s="12"/>
      <c r="B696" s="12"/>
      <c r="C696" s="4"/>
      <c r="D696" s="4"/>
      <c r="E696" s="5"/>
      <c r="F696" s="113"/>
      <c r="G696" s="4"/>
      <c r="H696" s="19"/>
      <c r="I696" s="19"/>
      <c r="J696" s="20"/>
      <c r="K696"/>
      <c r="L696"/>
      <c r="M696"/>
      <c r="N696"/>
      <c r="O696"/>
      <c r="P696"/>
    </row>
    <row r="697" spans="1:16" s="264" customFormat="1" ht="15.75" x14ac:dyDescent="0.25">
      <c r="A697" s="47" t="s">
        <v>5553</v>
      </c>
      <c r="B697" s="62" t="s">
        <v>174</v>
      </c>
      <c r="D697" s="258"/>
      <c r="E697" s="259"/>
      <c r="F697" s="271"/>
      <c r="G697" s="272"/>
      <c r="H697" s="262"/>
      <c r="I697" s="262"/>
      <c r="J697" s="263"/>
      <c r="K697" s="269"/>
      <c r="L697" s="269"/>
      <c r="M697" s="269"/>
      <c r="N697" s="269"/>
      <c r="O697" s="269"/>
      <c r="P697" s="269"/>
    </row>
    <row r="698" spans="1:16" s="1" customFormat="1" ht="15.75" x14ac:dyDescent="0.25">
      <c r="A698" s="48" t="s">
        <v>886</v>
      </c>
      <c r="B698" s="57"/>
      <c r="C698" s="58"/>
      <c r="D698" s="58"/>
      <c r="E698" s="59"/>
      <c r="F698" s="101"/>
      <c r="G698" s="58"/>
      <c r="H698" s="53"/>
      <c r="I698" s="53"/>
      <c r="J698" s="54"/>
      <c r="K698"/>
      <c r="L698"/>
      <c r="M698"/>
      <c r="N698"/>
      <c r="O698"/>
      <c r="P698"/>
    </row>
    <row r="699" spans="1:16" s="1" customFormat="1" x14ac:dyDescent="0.25">
      <c r="A699" s="25" t="s">
        <v>35</v>
      </c>
      <c r="B699" s="28" t="s">
        <v>36</v>
      </c>
      <c r="C699" s="333" t="s">
        <v>37</v>
      </c>
      <c r="D699" s="334"/>
      <c r="E699" s="335" t="s">
        <v>38</v>
      </c>
      <c r="F699" s="336"/>
      <c r="G699" s="335" t="s">
        <v>39</v>
      </c>
      <c r="H699" s="336"/>
      <c r="I699" s="42" t="s">
        <v>40</v>
      </c>
      <c r="J699" s="43" t="s">
        <v>41</v>
      </c>
      <c r="K699"/>
      <c r="L699"/>
      <c r="M699"/>
      <c r="N699"/>
      <c r="O699"/>
      <c r="P699"/>
    </row>
    <row r="700" spans="1:16" s="1" customFormat="1" x14ac:dyDescent="0.25">
      <c r="A700" s="32"/>
      <c r="B700" s="32"/>
      <c r="C700" s="33" t="s">
        <v>42</v>
      </c>
      <c r="D700" s="33" t="s">
        <v>43</v>
      </c>
      <c r="E700" s="33" t="s">
        <v>44</v>
      </c>
      <c r="F700" s="33" t="s">
        <v>45</v>
      </c>
      <c r="G700" s="33" t="s">
        <v>46</v>
      </c>
      <c r="H700" s="33" t="s">
        <v>47</v>
      </c>
      <c r="I700" s="33"/>
      <c r="J700" s="44"/>
      <c r="K700"/>
      <c r="L700"/>
      <c r="M700"/>
      <c r="N700"/>
      <c r="O700"/>
      <c r="P700"/>
    </row>
    <row r="701" spans="1:16" s="1" customFormat="1" x14ac:dyDescent="0.25">
      <c r="A701" s="26" t="s">
        <v>978</v>
      </c>
      <c r="B701" s="26" t="s">
        <v>937</v>
      </c>
      <c r="C701" s="30" t="s">
        <v>50</v>
      </c>
      <c r="D701" s="35" t="s">
        <v>176</v>
      </c>
      <c r="E701" s="36">
        <v>2</v>
      </c>
      <c r="F701" s="116">
        <v>50</v>
      </c>
      <c r="G701" s="35">
        <v>16</v>
      </c>
      <c r="H701" s="38">
        <v>7.3</v>
      </c>
      <c r="I701" s="38" t="s">
        <v>979</v>
      </c>
      <c r="J701" s="34">
        <f>IFERROR(_xlfn.XLOOKUP(I701,Index!$A:$A,Index!$B:$B),"")</f>
        <v>1575</v>
      </c>
      <c r="K701"/>
      <c r="L701"/>
      <c r="M701"/>
      <c r="N701"/>
      <c r="O701"/>
      <c r="P701"/>
    </row>
    <row r="702" spans="1:16" s="1" customFormat="1" x14ac:dyDescent="0.25">
      <c r="A702" s="26"/>
      <c r="B702" s="26"/>
      <c r="C702" s="30"/>
      <c r="D702" s="35" t="s">
        <v>176</v>
      </c>
      <c r="E702" s="36" t="s">
        <v>231</v>
      </c>
      <c r="F702" s="116">
        <v>65</v>
      </c>
      <c r="G702" s="35">
        <v>27</v>
      </c>
      <c r="H702" s="38">
        <v>12.2</v>
      </c>
      <c r="I702" s="38" t="s">
        <v>980</v>
      </c>
      <c r="J702" s="34">
        <f>IFERROR(_xlfn.XLOOKUP(I702,Index!$A:$A,Index!$B:$B),"")</f>
        <v>1583</v>
      </c>
      <c r="K702"/>
      <c r="L702"/>
      <c r="M702"/>
      <c r="N702"/>
      <c r="O702"/>
      <c r="P702"/>
    </row>
    <row r="703" spans="1:16" s="1" customFormat="1" x14ac:dyDescent="0.25">
      <c r="A703" s="26"/>
      <c r="B703" s="26"/>
      <c r="C703" s="30"/>
      <c r="D703" s="35" t="s">
        <v>176</v>
      </c>
      <c r="E703" s="36">
        <v>3</v>
      </c>
      <c r="F703" s="116">
        <v>80</v>
      </c>
      <c r="G703" s="35">
        <v>30</v>
      </c>
      <c r="H703" s="38">
        <v>13.6</v>
      </c>
      <c r="I703" s="38" t="s">
        <v>981</v>
      </c>
      <c r="J703" s="34">
        <f>IFERROR(_xlfn.XLOOKUP(I703,Index!$A:$A,Index!$B:$B),"")</f>
        <v>1627</v>
      </c>
      <c r="K703"/>
      <c r="L703"/>
      <c r="M703"/>
      <c r="N703"/>
      <c r="O703"/>
      <c r="P703"/>
    </row>
    <row r="704" spans="1:16" s="1" customFormat="1" x14ac:dyDescent="0.25">
      <c r="A704" s="26"/>
      <c r="B704" s="26"/>
      <c r="C704" s="30"/>
      <c r="D704" s="35" t="s">
        <v>176</v>
      </c>
      <c r="E704" s="36">
        <v>4</v>
      </c>
      <c r="F704" s="116">
        <v>100</v>
      </c>
      <c r="G704" s="35">
        <v>51</v>
      </c>
      <c r="H704" s="38">
        <v>23</v>
      </c>
      <c r="I704" s="38" t="s">
        <v>982</v>
      </c>
      <c r="J704" s="34">
        <f>IFERROR(_xlfn.XLOOKUP(I704,Index!$A:$A,Index!$B:$B),"")</f>
        <v>2440</v>
      </c>
      <c r="K704"/>
      <c r="L704"/>
      <c r="M704"/>
      <c r="N704"/>
      <c r="O704"/>
      <c r="P704"/>
    </row>
    <row r="705" spans="1:16" s="1" customFormat="1" x14ac:dyDescent="0.25">
      <c r="A705" s="26"/>
      <c r="B705" s="26"/>
      <c r="C705" s="30"/>
      <c r="D705" s="35" t="s">
        <v>241</v>
      </c>
      <c r="E705" s="36">
        <v>6</v>
      </c>
      <c r="F705" s="116">
        <v>150</v>
      </c>
      <c r="G705" s="35">
        <v>109</v>
      </c>
      <c r="H705" s="38">
        <v>49.4</v>
      </c>
      <c r="I705" s="38" t="s">
        <v>983</v>
      </c>
      <c r="J705" s="34">
        <f>IFERROR(_xlfn.XLOOKUP(I705,Index!$A:$A,Index!$B:$B),"")</f>
        <v>4606</v>
      </c>
      <c r="K705"/>
      <c r="L705"/>
      <c r="M705"/>
      <c r="N705"/>
      <c r="O705"/>
      <c r="P705"/>
    </row>
    <row r="706" spans="1:16" s="1" customFormat="1" x14ac:dyDescent="0.25">
      <c r="A706" s="26"/>
      <c r="B706" s="26"/>
      <c r="C706" s="30"/>
      <c r="D706" s="35" t="s">
        <v>241</v>
      </c>
      <c r="E706" s="36">
        <v>8</v>
      </c>
      <c r="F706" s="116">
        <v>200</v>
      </c>
      <c r="G706" s="35">
        <v>190</v>
      </c>
      <c r="H706" s="38">
        <v>86.2</v>
      </c>
      <c r="I706" s="38" t="s">
        <v>984</v>
      </c>
      <c r="J706" s="34">
        <f>IFERROR(_xlfn.XLOOKUP(I706,Index!$A:$A,Index!$B:$B),"")</f>
        <v>8328</v>
      </c>
      <c r="K706"/>
      <c r="L706"/>
      <c r="M706"/>
      <c r="N706"/>
      <c r="O706"/>
      <c r="P706"/>
    </row>
    <row r="707" spans="1:16" s="1" customFormat="1" x14ac:dyDescent="0.25">
      <c r="A707" s="26"/>
      <c r="B707" s="26"/>
      <c r="C707" s="30"/>
      <c r="D707" s="35" t="s">
        <v>241</v>
      </c>
      <c r="E707" s="36">
        <v>10</v>
      </c>
      <c r="F707" s="116">
        <v>250</v>
      </c>
      <c r="G707" s="35">
        <v>266</v>
      </c>
      <c r="H707" s="38">
        <v>120.7</v>
      </c>
      <c r="I707" s="19" t="s">
        <v>985</v>
      </c>
      <c r="J707" s="34">
        <f>IFERROR(_xlfn.XLOOKUP(I707,Index!$A:$A,Index!$B:$B),"")</f>
        <v>14246</v>
      </c>
      <c r="K707"/>
      <c r="L707"/>
      <c r="M707"/>
      <c r="N707"/>
      <c r="O707"/>
      <c r="P707"/>
    </row>
    <row r="708" spans="1:16" s="1" customFormat="1" x14ac:dyDescent="0.25">
      <c r="A708" s="27"/>
      <c r="B708" s="27"/>
      <c r="C708" s="31"/>
      <c r="D708" s="35" t="s">
        <v>241</v>
      </c>
      <c r="E708" s="36">
        <v>12</v>
      </c>
      <c r="F708" s="116">
        <v>300</v>
      </c>
      <c r="G708" s="35">
        <v>422</v>
      </c>
      <c r="H708" s="38">
        <v>191.4</v>
      </c>
      <c r="I708" s="38" t="s">
        <v>986</v>
      </c>
      <c r="J708" s="34">
        <f>IFERROR(_xlfn.XLOOKUP(I708,Index!$A:$A,Index!$B:$B),"")</f>
        <v>22343</v>
      </c>
      <c r="K708"/>
      <c r="L708"/>
      <c r="M708"/>
      <c r="N708"/>
      <c r="O708"/>
      <c r="P708"/>
    </row>
    <row r="709" spans="1:16" s="1" customFormat="1" x14ac:dyDescent="0.25">
      <c r="A709" s="12"/>
      <c r="B709" s="12"/>
      <c r="C709" s="4"/>
      <c r="D709" s="4"/>
      <c r="E709" s="5"/>
      <c r="F709" s="113"/>
      <c r="G709" s="4"/>
      <c r="H709" s="19"/>
      <c r="I709" s="19"/>
      <c r="J709" s="20"/>
      <c r="K709"/>
      <c r="L709"/>
      <c r="M709"/>
      <c r="N709"/>
      <c r="O709"/>
      <c r="P709"/>
    </row>
    <row r="710" spans="1:16" s="1" customFormat="1" ht="15.75" x14ac:dyDescent="0.25">
      <c r="A710" s="62" t="s">
        <v>987</v>
      </c>
      <c r="B710" s="63" t="s">
        <v>174</v>
      </c>
      <c r="C710" s="14"/>
      <c r="D710" s="3"/>
      <c r="E710" s="8"/>
      <c r="F710" s="110"/>
      <c r="G710" s="111"/>
      <c r="H710" s="19"/>
      <c r="I710" s="19"/>
      <c r="J710" s="20"/>
      <c r="K710"/>
      <c r="L710"/>
      <c r="M710"/>
      <c r="N710"/>
      <c r="O710"/>
      <c r="P710"/>
    </row>
    <row r="711" spans="1:16" s="1" customFormat="1" ht="15.75" x14ac:dyDescent="0.25">
      <c r="A711" s="48" t="s">
        <v>899</v>
      </c>
      <c r="B711" s="11"/>
      <c r="C711" s="4"/>
      <c r="D711" s="4"/>
      <c r="E711" s="5"/>
      <c r="F711" s="110"/>
      <c r="G711" s="4"/>
      <c r="H711" s="19"/>
      <c r="I711" s="19"/>
      <c r="J711" s="20"/>
      <c r="K711"/>
      <c r="L711"/>
      <c r="M711"/>
      <c r="N711"/>
      <c r="O711"/>
      <c r="P711"/>
    </row>
    <row r="712" spans="1:16" s="1" customFormat="1" x14ac:dyDescent="0.25">
      <c r="A712" s="25" t="s">
        <v>35</v>
      </c>
      <c r="B712" s="28" t="s">
        <v>36</v>
      </c>
      <c r="C712" s="29" t="s">
        <v>37</v>
      </c>
      <c r="D712" s="22"/>
      <c r="E712" s="22" t="s">
        <v>38</v>
      </c>
      <c r="F712" s="22"/>
      <c r="G712" s="23" t="s">
        <v>39</v>
      </c>
      <c r="H712" s="23"/>
      <c r="I712" s="42" t="s">
        <v>40</v>
      </c>
      <c r="J712" s="24" t="s">
        <v>41</v>
      </c>
      <c r="K712"/>
      <c r="L712"/>
      <c r="M712"/>
      <c r="N712"/>
      <c r="O712"/>
      <c r="P712"/>
    </row>
    <row r="713" spans="1:16" s="1" customFormat="1" x14ac:dyDescent="0.25">
      <c r="A713" s="32"/>
      <c r="B713" s="32"/>
      <c r="C713" s="33" t="s">
        <v>42</v>
      </c>
      <c r="D713" s="33" t="s">
        <v>43</v>
      </c>
      <c r="E713" s="33" t="s">
        <v>44</v>
      </c>
      <c r="F713" s="33" t="s">
        <v>45</v>
      </c>
      <c r="G713" s="33" t="s">
        <v>46</v>
      </c>
      <c r="H713" s="39" t="s">
        <v>47</v>
      </c>
      <c r="I713" s="33"/>
      <c r="J713" s="41"/>
      <c r="K713"/>
      <c r="L713"/>
      <c r="M713"/>
      <c r="N713"/>
      <c r="O713"/>
      <c r="P713"/>
    </row>
    <row r="714" spans="1:16" s="1" customFormat="1" x14ac:dyDescent="0.25">
      <c r="A714" s="26" t="s">
        <v>988</v>
      </c>
      <c r="B714" s="26" t="s">
        <v>901</v>
      </c>
      <c r="C714" s="30" t="s">
        <v>50</v>
      </c>
      <c r="D714" s="35" t="s">
        <v>176</v>
      </c>
      <c r="E714" s="64">
        <v>0.5</v>
      </c>
      <c r="F714" s="98">
        <v>15</v>
      </c>
      <c r="G714" s="35">
        <v>3</v>
      </c>
      <c r="H714" s="40">
        <v>1.4</v>
      </c>
      <c r="I714" s="38" t="s">
        <v>989</v>
      </c>
      <c r="J714" s="34">
        <f>IFERROR(_xlfn.XLOOKUP(I714,Index!$A:$A,Index!$B:$B),"")</f>
        <v>1266</v>
      </c>
      <c r="K714"/>
      <c r="L714"/>
      <c r="M714"/>
      <c r="N714"/>
      <c r="O714"/>
      <c r="P714"/>
    </row>
    <row r="715" spans="1:16" s="1" customFormat="1" x14ac:dyDescent="0.25">
      <c r="A715" s="26"/>
      <c r="B715" s="26"/>
      <c r="C715" s="30"/>
      <c r="D715" s="35" t="s">
        <v>53</v>
      </c>
      <c r="E715" s="64">
        <v>0.5</v>
      </c>
      <c r="F715" s="98">
        <v>15</v>
      </c>
      <c r="G715" s="35">
        <v>3</v>
      </c>
      <c r="H715" s="40">
        <v>1.4</v>
      </c>
      <c r="I715" s="268" t="s">
        <v>5601</v>
      </c>
      <c r="J715" s="34">
        <f>J714+50</f>
        <v>1316</v>
      </c>
      <c r="K715"/>
      <c r="L715"/>
      <c r="M715"/>
      <c r="N715"/>
      <c r="O715"/>
      <c r="P715"/>
    </row>
    <row r="716" spans="1:16" s="1" customFormat="1" x14ac:dyDescent="0.25">
      <c r="A716" s="26"/>
      <c r="B716" s="26"/>
      <c r="C716" s="30"/>
      <c r="D716" s="35" t="s">
        <v>55</v>
      </c>
      <c r="E716" s="64">
        <v>0.5</v>
      </c>
      <c r="F716" s="98">
        <v>15</v>
      </c>
      <c r="G716" s="35">
        <v>3</v>
      </c>
      <c r="H716" s="40">
        <v>1.4</v>
      </c>
      <c r="I716" s="268" t="s">
        <v>5602</v>
      </c>
      <c r="J716" s="34">
        <f>J715</f>
        <v>1316</v>
      </c>
      <c r="K716"/>
      <c r="L716"/>
      <c r="M716"/>
      <c r="N716"/>
      <c r="O716"/>
      <c r="P716"/>
    </row>
    <row r="717" spans="1:16" s="1" customFormat="1" x14ac:dyDescent="0.25">
      <c r="A717" s="26"/>
      <c r="B717" s="26"/>
      <c r="C717" s="30"/>
      <c r="D717" s="35" t="s">
        <v>176</v>
      </c>
      <c r="E717" s="36" t="s">
        <v>217</v>
      </c>
      <c r="F717" s="98">
        <v>20</v>
      </c>
      <c r="G717" s="35">
        <v>9</v>
      </c>
      <c r="H717" s="40">
        <v>4.0999999999999996</v>
      </c>
      <c r="I717" s="38" t="s">
        <v>990</v>
      </c>
      <c r="J717" s="34">
        <f>IFERROR(_xlfn.XLOOKUP(I717,Index!$A:$A,Index!$B:$B),"")</f>
        <v>1520</v>
      </c>
      <c r="K717"/>
      <c r="L717"/>
      <c r="M717"/>
      <c r="N717"/>
      <c r="O717"/>
      <c r="P717"/>
    </row>
    <row r="718" spans="1:16" s="1" customFormat="1" x14ac:dyDescent="0.25">
      <c r="A718" s="26"/>
      <c r="B718" s="26"/>
      <c r="C718" s="30"/>
      <c r="D718" s="35" t="s">
        <v>53</v>
      </c>
      <c r="E718" s="36" t="s">
        <v>217</v>
      </c>
      <c r="F718" s="98">
        <v>20</v>
      </c>
      <c r="G718" s="35">
        <v>9</v>
      </c>
      <c r="H718" s="40">
        <v>4.0999999999999996</v>
      </c>
      <c r="I718" s="38" t="s">
        <v>991</v>
      </c>
      <c r="J718" s="34">
        <f>IFERROR(_xlfn.XLOOKUP(I718,Index!$A:$A,Index!$B:$B),"")</f>
        <v>1595</v>
      </c>
      <c r="K718"/>
      <c r="L718"/>
      <c r="M718"/>
      <c r="N718"/>
      <c r="O718"/>
      <c r="P718"/>
    </row>
    <row r="719" spans="1:16" s="1" customFormat="1" x14ac:dyDescent="0.25">
      <c r="A719" s="26"/>
      <c r="B719" s="26"/>
      <c r="C719" s="30"/>
      <c r="D719" s="35" t="s">
        <v>55</v>
      </c>
      <c r="E719" s="36" t="s">
        <v>217</v>
      </c>
      <c r="F719" s="98">
        <v>20</v>
      </c>
      <c r="G719" s="35">
        <v>9</v>
      </c>
      <c r="H719" s="40">
        <v>4.0999999999999996</v>
      </c>
      <c r="I719" s="268" t="s">
        <v>5603</v>
      </c>
      <c r="J719" s="34">
        <f>IFERROR(_xlfn.XLOOKUP(I719,Index!$A:$A,Index!$B:$B),"")</f>
        <v>1595</v>
      </c>
      <c r="K719"/>
      <c r="L719"/>
      <c r="M719"/>
      <c r="N719"/>
      <c r="O719"/>
      <c r="P719"/>
    </row>
    <row r="720" spans="1:16" s="1" customFormat="1" x14ac:dyDescent="0.25">
      <c r="A720" s="26"/>
      <c r="B720" s="26"/>
      <c r="C720" s="30"/>
      <c r="D720" s="35" t="s">
        <v>176</v>
      </c>
      <c r="E720" s="36">
        <v>1</v>
      </c>
      <c r="F720" s="98">
        <v>25</v>
      </c>
      <c r="G720" s="35">
        <v>9</v>
      </c>
      <c r="H720" s="40">
        <v>4.0999999999999996</v>
      </c>
      <c r="I720" s="38" t="s">
        <v>992</v>
      </c>
      <c r="J720" s="34">
        <f>IFERROR(_xlfn.XLOOKUP(I720,Index!$A:$A,Index!$B:$B),"")</f>
        <v>1520</v>
      </c>
      <c r="K720"/>
      <c r="L720"/>
      <c r="M720"/>
      <c r="N720"/>
      <c r="O720"/>
      <c r="P720"/>
    </row>
    <row r="721" spans="1:16" s="1" customFormat="1" x14ac:dyDescent="0.25">
      <c r="A721" s="26"/>
      <c r="B721" s="26"/>
      <c r="C721" s="30"/>
      <c r="D721" s="35" t="s">
        <v>53</v>
      </c>
      <c r="E721" s="36">
        <v>1</v>
      </c>
      <c r="F721" s="98">
        <v>25</v>
      </c>
      <c r="G721" s="35">
        <v>9</v>
      </c>
      <c r="H721" s="40">
        <v>4.0999999999999996</v>
      </c>
      <c r="I721" s="268" t="s">
        <v>5604</v>
      </c>
      <c r="J721" s="34">
        <f>IFERROR(_xlfn.XLOOKUP(I721,Index!$A:$A,Index!$B:$B),"")</f>
        <v>1595</v>
      </c>
      <c r="K721"/>
      <c r="L721"/>
      <c r="M721"/>
      <c r="N721"/>
      <c r="O721"/>
      <c r="P721"/>
    </row>
    <row r="722" spans="1:16" s="1" customFormat="1" x14ac:dyDescent="0.25">
      <c r="A722" s="26"/>
      <c r="B722" s="26"/>
      <c r="C722" s="30"/>
      <c r="D722" s="35" t="s">
        <v>55</v>
      </c>
      <c r="E722" s="36">
        <v>1</v>
      </c>
      <c r="F722" s="98">
        <v>25</v>
      </c>
      <c r="G722" s="35">
        <v>9</v>
      </c>
      <c r="H722" s="40">
        <v>4.0999999999999996</v>
      </c>
      <c r="I722" s="268" t="s">
        <v>5605</v>
      </c>
      <c r="J722" s="34">
        <f>IFERROR(_xlfn.XLOOKUP(I722,Index!$A:$A,Index!$B:$B),"")</f>
        <v>1595</v>
      </c>
      <c r="K722"/>
      <c r="L722"/>
      <c r="M722"/>
      <c r="N722"/>
      <c r="O722"/>
      <c r="P722"/>
    </row>
    <row r="723" spans="1:16" s="1" customFormat="1" x14ac:dyDescent="0.25">
      <c r="A723" s="26"/>
      <c r="B723" s="26"/>
      <c r="C723" s="30"/>
      <c r="D723" s="35" t="s">
        <v>176</v>
      </c>
      <c r="E723" s="36" t="s">
        <v>223</v>
      </c>
      <c r="F723" s="98">
        <v>32</v>
      </c>
      <c r="G723" s="35">
        <v>12</v>
      </c>
      <c r="H723" s="40">
        <v>5.4</v>
      </c>
      <c r="I723" s="38" t="s">
        <v>946</v>
      </c>
      <c r="J723" s="34">
        <f>IFERROR(_xlfn.XLOOKUP(I723,Index!$A:$A,Index!$B:$B),"")</f>
        <v>1664</v>
      </c>
      <c r="K723"/>
      <c r="L723"/>
      <c r="M723"/>
      <c r="N723"/>
      <c r="O723"/>
      <c r="P723"/>
    </row>
    <row r="724" spans="1:16" s="1" customFormat="1" x14ac:dyDescent="0.25">
      <c r="A724" s="26"/>
      <c r="B724" s="26"/>
      <c r="C724" s="30"/>
      <c r="D724" s="35" t="s">
        <v>53</v>
      </c>
      <c r="E724" s="36" t="s">
        <v>223</v>
      </c>
      <c r="F724" s="98">
        <v>32</v>
      </c>
      <c r="G724" s="35">
        <v>12</v>
      </c>
      <c r="H724" s="40">
        <v>5.4</v>
      </c>
      <c r="I724" s="268" t="s">
        <v>5542</v>
      </c>
      <c r="J724" s="34">
        <f>J723+65</f>
        <v>1729</v>
      </c>
      <c r="K724"/>
      <c r="L724"/>
      <c r="M724"/>
      <c r="N724"/>
      <c r="O724"/>
      <c r="P724"/>
    </row>
    <row r="725" spans="1:16" s="1" customFormat="1" x14ac:dyDescent="0.25">
      <c r="A725" s="26"/>
      <c r="B725" s="26"/>
      <c r="C725" s="30"/>
      <c r="D725" s="35" t="s">
        <v>55</v>
      </c>
      <c r="E725" s="36" t="s">
        <v>223</v>
      </c>
      <c r="F725" s="98">
        <v>32</v>
      </c>
      <c r="G725" s="35">
        <v>12</v>
      </c>
      <c r="H725" s="40">
        <v>5.4</v>
      </c>
      <c r="I725" s="268" t="s">
        <v>5542</v>
      </c>
      <c r="J725" s="34">
        <f>J724</f>
        <v>1729</v>
      </c>
      <c r="K725"/>
      <c r="L725"/>
      <c r="M725"/>
      <c r="N725"/>
      <c r="O725"/>
      <c r="P725"/>
    </row>
    <row r="726" spans="1:16" s="1" customFormat="1" x14ac:dyDescent="0.25">
      <c r="A726" s="26"/>
      <c r="B726" s="26"/>
      <c r="C726" s="30"/>
      <c r="D726" s="35" t="s">
        <v>176</v>
      </c>
      <c r="E726" s="36" t="s">
        <v>225</v>
      </c>
      <c r="F726" s="98">
        <v>40</v>
      </c>
      <c r="G726" s="35">
        <v>13</v>
      </c>
      <c r="H726" s="40">
        <v>5.9</v>
      </c>
      <c r="I726" s="268" t="s">
        <v>5542</v>
      </c>
      <c r="J726" s="34">
        <f>J725-81</f>
        <v>1648</v>
      </c>
      <c r="K726"/>
      <c r="L726"/>
      <c r="M726"/>
      <c r="N726"/>
      <c r="O726"/>
      <c r="P726"/>
    </row>
    <row r="727" spans="1:16" s="1" customFormat="1" x14ac:dyDescent="0.25">
      <c r="A727" s="26"/>
      <c r="B727" s="26"/>
      <c r="C727" s="30"/>
      <c r="D727" s="35" t="s">
        <v>53</v>
      </c>
      <c r="E727" s="36" t="s">
        <v>225</v>
      </c>
      <c r="F727" s="98">
        <v>40</v>
      </c>
      <c r="G727" s="35">
        <v>13</v>
      </c>
      <c r="H727" s="40">
        <v>5.9</v>
      </c>
      <c r="I727" s="268" t="s">
        <v>5542</v>
      </c>
      <c r="J727" s="34">
        <f>J726+64</f>
        <v>1712</v>
      </c>
      <c r="K727"/>
      <c r="L727"/>
      <c r="M727"/>
      <c r="N727"/>
      <c r="O727"/>
      <c r="P727"/>
    </row>
    <row r="728" spans="1:16" s="1" customFormat="1" x14ac:dyDescent="0.25">
      <c r="A728" s="26"/>
      <c r="B728" s="26"/>
      <c r="C728" s="30"/>
      <c r="D728" s="35" t="s">
        <v>55</v>
      </c>
      <c r="E728" s="36" t="s">
        <v>225</v>
      </c>
      <c r="F728" s="98">
        <v>40</v>
      </c>
      <c r="G728" s="35">
        <v>13</v>
      </c>
      <c r="H728" s="40">
        <v>5.9</v>
      </c>
      <c r="I728" s="268" t="s">
        <v>5542</v>
      </c>
      <c r="J728" s="34">
        <f>J727</f>
        <v>1712</v>
      </c>
      <c r="K728"/>
      <c r="L728"/>
      <c r="M728"/>
      <c r="N728"/>
      <c r="O728"/>
      <c r="P728"/>
    </row>
    <row r="729" spans="1:16" s="1" customFormat="1" x14ac:dyDescent="0.25">
      <c r="A729" s="26"/>
      <c r="B729" s="26"/>
      <c r="C729" s="30"/>
      <c r="D729" s="35" t="s">
        <v>176</v>
      </c>
      <c r="E729" s="36">
        <v>2</v>
      </c>
      <c r="F729" s="98">
        <v>50</v>
      </c>
      <c r="G729" s="35">
        <v>10</v>
      </c>
      <c r="H729" s="40">
        <v>4.5</v>
      </c>
      <c r="I729" s="38" t="s">
        <v>993</v>
      </c>
      <c r="J729" s="34">
        <f>IFERROR(_xlfn.XLOOKUP(I729,Index!$A:$A,Index!$B:$B),"")</f>
        <v>1686</v>
      </c>
      <c r="K729"/>
      <c r="L729"/>
      <c r="M729"/>
      <c r="N729"/>
      <c r="O729"/>
      <c r="P729"/>
    </row>
    <row r="730" spans="1:16" s="1" customFormat="1" x14ac:dyDescent="0.25">
      <c r="A730" s="26"/>
      <c r="B730" s="26"/>
      <c r="C730" s="30"/>
      <c r="D730" s="35" t="s">
        <v>53</v>
      </c>
      <c r="E730" s="36">
        <v>2</v>
      </c>
      <c r="F730" s="98">
        <v>50</v>
      </c>
      <c r="G730" s="35">
        <v>10</v>
      </c>
      <c r="H730" s="40">
        <v>4.5</v>
      </c>
      <c r="I730" s="38" t="s">
        <v>994</v>
      </c>
      <c r="J730" s="34">
        <f>IFERROR(_xlfn.XLOOKUP(I730,Index!$A:$A,Index!$B:$B),"")</f>
        <v>1770</v>
      </c>
      <c r="K730"/>
      <c r="L730"/>
      <c r="M730"/>
      <c r="N730"/>
      <c r="O730"/>
      <c r="P730"/>
    </row>
    <row r="731" spans="1:16" s="1" customFormat="1" x14ac:dyDescent="0.25">
      <c r="A731" s="26"/>
      <c r="B731" s="26"/>
      <c r="C731" s="30"/>
      <c r="D731" s="35" t="s">
        <v>55</v>
      </c>
      <c r="E731" s="36">
        <v>2</v>
      </c>
      <c r="F731" s="98">
        <v>50</v>
      </c>
      <c r="G731" s="35">
        <v>10</v>
      </c>
      <c r="H731" s="40">
        <v>4.5</v>
      </c>
      <c r="I731" s="38" t="s">
        <v>995</v>
      </c>
      <c r="J731" s="34">
        <f>IFERROR(_xlfn.XLOOKUP(I731,Index!$A:$A,Index!$B:$B),"")</f>
        <v>1770</v>
      </c>
      <c r="K731"/>
      <c r="L731"/>
      <c r="M731"/>
      <c r="N731"/>
      <c r="O731"/>
      <c r="P731"/>
    </row>
    <row r="732" spans="1:16" s="1" customFormat="1" x14ac:dyDescent="0.25">
      <c r="A732" s="26"/>
      <c r="B732" s="26"/>
      <c r="C732" s="30"/>
      <c r="D732" s="35" t="s">
        <v>176</v>
      </c>
      <c r="E732" s="36" t="s">
        <v>231</v>
      </c>
      <c r="F732" s="98">
        <v>65</v>
      </c>
      <c r="G732" s="35">
        <v>14</v>
      </c>
      <c r="H732" s="40">
        <v>6.4</v>
      </c>
      <c r="I732" s="38" t="s">
        <v>996</v>
      </c>
      <c r="J732" s="34">
        <f>IFERROR(_xlfn.XLOOKUP(I732,Index!$A:$A,Index!$B:$B),"")</f>
        <v>1690</v>
      </c>
      <c r="K732"/>
      <c r="L732"/>
      <c r="M732"/>
      <c r="N732"/>
      <c r="O732"/>
      <c r="P732"/>
    </row>
    <row r="733" spans="1:16" s="1" customFormat="1" x14ac:dyDescent="0.25">
      <c r="A733" s="26"/>
      <c r="B733" s="26"/>
      <c r="C733" s="30"/>
      <c r="D733" s="35" t="s">
        <v>53</v>
      </c>
      <c r="E733" s="36" t="s">
        <v>231</v>
      </c>
      <c r="F733" s="98">
        <v>65</v>
      </c>
      <c r="G733" s="35">
        <v>14</v>
      </c>
      <c r="H733" s="40">
        <v>6.4</v>
      </c>
      <c r="I733" s="268" t="s">
        <v>5606</v>
      </c>
      <c r="J733" s="34">
        <f>IFERROR(_xlfn.XLOOKUP(I733,Index!$A:$A,Index!$B:$B),"")</f>
        <v>1774</v>
      </c>
      <c r="K733"/>
      <c r="L733"/>
      <c r="M733"/>
      <c r="N733"/>
      <c r="O733"/>
      <c r="P733"/>
    </row>
    <row r="734" spans="1:16" s="1" customFormat="1" x14ac:dyDescent="0.25">
      <c r="A734" s="26"/>
      <c r="B734" s="26"/>
      <c r="C734" s="30"/>
      <c r="D734" s="35" t="s">
        <v>55</v>
      </c>
      <c r="E734" s="36" t="s">
        <v>231</v>
      </c>
      <c r="F734" s="98">
        <v>65</v>
      </c>
      <c r="G734" s="35">
        <v>14</v>
      </c>
      <c r="H734" s="40">
        <v>6.4</v>
      </c>
      <c r="I734" s="268" t="s">
        <v>5607</v>
      </c>
      <c r="J734" s="34">
        <f>IFERROR(_xlfn.XLOOKUP(I734,Index!$A:$A,Index!$B:$B),"")</f>
        <v>1774</v>
      </c>
      <c r="K734"/>
      <c r="L734"/>
      <c r="M734"/>
      <c r="N734"/>
      <c r="O734"/>
      <c r="P734"/>
    </row>
    <row r="735" spans="1:16" s="1" customFormat="1" x14ac:dyDescent="0.25">
      <c r="A735" s="26"/>
      <c r="B735" s="26"/>
      <c r="C735" s="30"/>
      <c r="D735" s="35" t="s">
        <v>176</v>
      </c>
      <c r="E735" s="36">
        <v>3</v>
      </c>
      <c r="F735" s="98">
        <v>80</v>
      </c>
      <c r="G735" s="35">
        <v>21</v>
      </c>
      <c r="H735" s="40">
        <v>9.5</v>
      </c>
      <c r="I735" s="38" t="s">
        <v>997</v>
      </c>
      <c r="J735" s="34">
        <f>IFERROR(_xlfn.XLOOKUP(I735,Index!$A:$A,Index!$B:$B),"")</f>
        <v>1738</v>
      </c>
      <c r="K735"/>
      <c r="L735"/>
      <c r="M735"/>
      <c r="N735"/>
      <c r="O735"/>
      <c r="P735"/>
    </row>
    <row r="736" spans="1:16" s="1" customFormat="1" x14ac:dyDescent="0.25">
      <c r="A736" s="26"/>
      <c r="B736" s="26"/>
      <c r="C736" s="30"/>
      <c r="D736" s="35" t="s">
        <v>53</v>
      </c>
      <c r="E736" s="36">
        <v>3</v>
      </c>
      <c r="F736" s="98">
        <v>80</v>
      </c>
      <c r="G736" s="35">
        <v>21</v>
      </c>
      <c r="H736" s="40">
        <v>9.5</v>
      </c>
      <c r="I736" s="38" t="s">
        <v>998</v>
      </c>
      <c r="J736" s="34">
        <f>IFERROR(_xlfn.XLOOKUP(I736,Index!$A:$A,Index!$B:$B),"")</f>
        <v>1825</v>
      </c>
      <c r="K736"/>
      <c r="L736"/>
      <c r="M736"/>
      <c r="N736"/>
      <c r="O736"/>
      <c r="P736"/>
    </row>
    <row r="737" spans="1:16" s="1" customFormat="1" x14ac:dyDescent="0.25">
      <c r="A737" s="26"/>
      <c r="B737" s="26"/>
      <c r="C737" s="30"/>
      <c r="D737" s="35" t="s">
        <v>55</v>
      </c>
      <c r="E737" s="36">
        <v>3</v>
      </c>
      <c r="F737" s="98">
        <v>80</v>
      </c>
      <c r="G737" s="35">
        <v>21</v>
      </c>
      <c r="H737" s="40">
        <v>9.5</v>
      </c>
      <c r="I737" s="38" t="s">
        <v>999</v>
      </c>
      <c r="J737" s="34">
        <f>IFERROR(_xlfn.XLOOKUP(I737,Index!$A:$A,Index!$B:$B),"")</f>
        <v>1825</v>
      </c>
      <c r="K737"/>
      <c r="L737"/>
      <c r="M737"/>
      <c r="N737"/>
      <c r="O737"/>
      <c r="P737"/>
    </row>
    <row r="738" spans="1:16" s="1" customFormat="1" x14ac:dyDescent="0.25">
      <c r="A738" s="26"/>
      <c r="B738" s="26"/>
      <c r="C738" s="30"/>
      <c r="D738" s="35" t="s">
        <v>176</v>
      </c>
      <c r="E738" s="36">
        <v>4</v>
      </c>
      <c r="F738" s="98">
        <v>100</v>
      </c>
      <c r="G738" s="35">
        <v>42</v>
      </c>
      <c r="H738" s="40">
        <v>19.100000000000001</v>
      </c>
      <c r="I738" s="38" t="s">
        <v>1000</v>
      </c>
      <c r="J738" s="34">
        <f>IFERROR(_xlfn.XLOOKUP(I738,Index!$A:$A,Index!$B:$B),"")</f>
        <v>2606</v>
      </c>
      <c r="K738"/>
      <c r="L738"/>
      <c r="M738"/>
      <c r="N738"/>
      <c r="O738"/>
      <c r="P738"/>
    </row>
    <row r="739" spans="1:16" s="1" customFormat="1" x14ac:dyDescent="0.25">
      <c r="A739" s="26"/>
      <c r="B739" s="26"/>
      <c r="C739" s="30"/>
      <c r="D739" s="35" t="s">
        <v>53</v>
      </c>
      <c r="E739" s="36">
        <v>4</v>
      </c>
      <c r="F739" s="98">
        <v>100</v>
      </c>
      <c r="G739" s="35">
        <v>42</v>
      </c>
      <c r="H739" s="40">
        <v>19.100000000000001</v>
      </c>
      <c r="I739" s="38" t="s">
        <v>1001</v>
      </c>
      <c r="J739" s="34">
        <f>IFERROR(_xlfn.XLOOKUP(I739,Index!$A:$A,Index!$B:$B),"")</f>
        <v>2738</v>
      </c>
      <c r="K739"/>
      <c r="L739"/>
      <c r="M739"/>
      <c r="N739"/>
      <c r="O739"/>
      <c r="P739"/>
    </row>
    <row r="740" spans="1:16" s="1" customFormat="1" x14ac:dyDescent="0.25">
      <c r="A740" s="26"/>
      <c r="B740" s="26"/>
      <c r="C740" s="30"/>
      <c r="D740" s="35" t="s">
        <v>55</v>
      </c>
      <c r="E740" s="36">
        <v>4</v>
      </c>
      <c r="F740" s="98">
        <v>100</v>
      </c>
      <c r="G740" s="35">
        <v>42</v>
      </c>
      <c r="H740" s="40">
        <v>19.100000000000001</v>
      </c>
      <c r="I740" s="38" t="s">
        <v>1002</v>
      </c>
      <c r="J740" s="34">
        <f>IFERROR(_xlfn.XLOOKUP(I740,Index!$A:$A,Index!$B:$B),"")</f>
        <v>5098</v>
      </c>
      <c r="K740"/>
      <c r="L740"/>
      <c r="M740"/>
      <c r="N740"/>
      <c r="O740"/>
      <c r="P740"/>
    </row>
    <row r="741" spans="1:16" s="1" customFormat="1" x14ac:dyDescent="0.25">
      <c r="A741" s="26"/>
      <c r="B741" s="26"/>
      <c r="C741" s="30"/>
      <c r="D741" s="35" t="s">
        <v>241</v>
      </c>
      <c r="E741" s="36">
        <v>6</v>
      </c>
      <c r="F741" s="98">
        <v>150</v>
      </c>
      <c r="G741" s="35">
        <v>115</v>
      </c>
      <c r="H741" s="40">
        <v>52.2</v>
      </c>
      <c r="I741" s="38" t="s">
        <v>1003</v>
      </c>
      <c r="J741" s="34">
        <f>IFERROR(_xlfn.XLOOKUP(I741,Index!$A:$A,Index!$B:$B),"")</f>
        <v>4922</v>
      </c>
      <c r="K741"/>
      <c r="L741"/>
      <c r="M741"/>
      <c r="N741"/>
      <c r="O741"/>
      <c r="P741"/>
    </row>
    <row r="742" spans="1:16" s="1" customFormat="1" x14ac:dyDescent="0.25">
      <c r="A742" s="26"/>
      <c r="B742" s="26"/>
      <c r="C742" s="30"/>
      <c r="D742" s="35" t="s">
        <v>53</v>
      </c>
      <c r="E742" s="36">
        <v>6</v>
      </c>
      <c r="F742" s="98">
        <v>150</v>
      </c>
      <c r="G742" s="35">
        <v>115</v>
      </c>
      <c r="H742" s="40">
        <v>52.2</v>
      </c>
      <c r="I742" s="38" t="s">
        <v>1004</v>
      </c>
      <c r="J742" s="34">
        <f>IFERROR(_xlfn.XLOOKUP(I742,Index!$A:$A,Index!$B:$B),"")</f>
        <v>5168</v>
      </c>
      <c r="K742"/>
      <c r="L742"/>
      <c r="M742"/>
      <c r="N742"/>
      <c r="O742"/>
      <c r="P742"/>
    </row>
    <row r="743" spans="1:16" s="1" customFormat="1" x14ac:dyDescent="0.25">
      <c r="A743" s="26"/>
      <c r="B743" s="26"/>
      <c r="C743" s="30"/>
      <c r="D743" s="35" t="s">
        <v>55</v>
      </c>
      <c r="E743" s="36">
        <v>6</v>
      </c>
      <c r="F743" s="98">
        <v>150</v>
      </c>
      <c r="G743" s="35">
        <v>115</v>
      </c>
      <c r="H743" s="40">
        <v>52.2</v>
      </c>
      <c r="I743" s="38" t="s">
        <v>1005</v>
      </c>
      <c r="J743" s="34">
        <f>IFERROR(_xlfn.XLOOKUP(I743,Index!$A:$A,Index!$B:$B),"")</f>
        <v>5168</v>
      </c>
      <c r="K743"/>
      <c r="L743"/>
      <c r="M743"/>
      <c r="N743"/>
      <c r="O743"/>
      <c r="P743"/>
    </row>
    <row r="744" spans="1:16" s="1" customFormat="1" x14ac:dyDescent="0.25">
      <c r="A744" s="26"/>
      <c r="B744" s="26"/>
      <c r="C744" s="30"/>
      <c r="D744" s="35" t="s">
        <v>241</v>
      </c>
      <c r="E744" s="36">
        <v>8</v>
      </c>
      <c r="F744" s="98">
        <v>200</v>
      </c>
      <c r="G744" s="35">
        <v>180</v>
      </c>
      <c r="H744" s="40">
        <v>81.599999999999994</v>
      </c>
      <c r="I744" s="38" t="s">
        <v>2868</v>
      </c>
      <c r="J744" s="34">
        <f>IFERROR(_xlfn.XLOOKUP(I744,Index!$A:$A,Index!$B:$B),"")</f>
        <v>8261</v>
      </c>
      <c r="K744"/>
      <c r="L744"/>
      <c r="M744"/>
      <c r="N744"/>
      <c r="O744"/>
      <c r="P744"/>
    </row>
    <row r="745" spans="1:16" s="1" customFormat="1" x14ac:dyDescent="0.25">
      <c r="A745" s="26"/>
      <c r="B745" s="26"/>
      <c r="C745" s="30"/>
      <c r="D745" s="35" t="s">
        <v>53</v>
      </c>
      <c r="E745" s="36">
        <v>8</v>
      </c>
      <c r="F745" s="98">
        <v>200</v>
      </c>
      <c r="G745" s="35">
        <v>180</v>
      </c>
      <c r="H745" s="40">
        <v>81.599999999999994</v>
      </c>
      <c r="I745" s="268" t="s">
        <v>5608</v>
      </c>
      <c r="J745" s="34">
        <f>J744+325</f>
        <v>8586</v>
      </c>
      <c r="K745"/>
      <c r="L745"/>
      <c r="M745"/>
      <c r="N745"/>
      <c r="O745"/>
      <c r="P745"/>
    </row>
    <row r="746" spans="1:16" s="1" customFormat="1" x14ac:dyDescent="0.25">
      <c r="A746" s="26"/>
      <c r="B746" s="26"/>
      <c r="C746" s="30"/>
      <c r="D746" s="35" t="s">
        <v>55</v>
      </c>
      <c r="E746" s="36">
        <v>8</v>
      </c>
      <c r="F746" s="98">
        <v>200</v>
      </c>
      <c r="G746" s="35">
        <v>180</v>
      </c>
      <c r="H746" s="40">
        <v>81.599999999999994</v>
      </c>
      <c r="I746" s="268" t="s">
        <v>5609</v>
      </c>
      <c r="J746" s="34">
        <f>J745</f>
        <v>8586</v>
      </c>
      <c r="K746"/>
      <c r="L746"/>
      <c r="M746"/>
      <c r="N746"/>
      <c r="O746"/>
      <c r="P746"/>
    </row>
    <row r="747" spans="1:16" s="1" customFormat="1" x14ac:dyDescent="0.25">
      <c r="A747" s="26"/>
      <c r="B747" s="26"/>
      <c r="C747" s="30"/>
      <c r="D747" s="35" t="s">
        <v>241</v>
      </c>
      <c r="E747" s="36">
        <v>10</v>
      </c>
      <c r="F747" s="98">
        <v>250</v>
      </c>
      <c r="G747" s="35">
        <v>290</v>
      </c>
      <c r="H747" s="40">
        <v>131.5</v>
      </c>
      <c r="I747" s="268" t="s">
        <v>5542</v>
      </c>
      <c r="J747" s="34">
        <f>J750-9304</f>
        <v>16676</v>
      </c>
      <c r="K747"/>
      <c r="L747"/>
      <c r="M747"/>
      <c r="N747"/>
      <c r="O747"/>
      <c r="P747"/>
    </row>
    <row r="748" spans="1:16" s="1" customFormat="1" x14ac:dyDescent="0.25">
      <c r="A748" s="26"/>
      <c r="B748" s="26"/>
      <c r="C748" s="30"/>
      <c r="D748" s="35" t="s">
        <v>53</v>
      </c>
      <c r="E748" s="36">
        <v>10</v>
      </c>
      <c r="F748" s="98">
        <v>250</v>
      </c>
      <c r="G748" s="35">
        <v>290</v>
      </c>
      <c r="H748" s="40">
        <v>131.5</v>
      </c>
      <c r="I748" s="268" t="s">
        <v>5542</v>
      </c>
      <c r="J748" s="34">
        <f>J747*1.05</f>
        <v>17509.8</v>
      </c>
      <c r="K748"/>
      <c r="L748"/>
      <c r="M748"/>
      <c r="N748"/>
      <c r="O748"/>
      <c r="P748"/>
    </row>
    <row r="749" spans="1:16" s="1" customFormat="1" x14ac:dyDescent="0.25">
      <c r="A749" s="26"/>
      <c r="B749" s="26"/>
      <c r="C749" s="30"/>
      <c r="D749" s="35" t="s">
        <v>55</v>
      </c>
      <c r="E749" s="36">
        <v>10</v>
      </c>
      <c r="F749" s="98">
        <v>250</v>
      </c>
      <c r="G749" s="35">
        <v>290</v>
      </c>
      <c r="H749" s="40">
        <v>131.5</v>
      </c>
      <c r="I749" s="268" t="s">
        <v>5542</v>
      </c>
      <c r="J749" s="34">
        <f>J748</f>
        <v>17509.8</v>
      </c>
      <c r="K749"/>
      <c r="L749"/>
      <c r="M749"/>
      <c r="N749"/>
      <c r="O749"/>
      <c r="P749"/>
    </row>
    <row r="750" spans="1:16" s="1" customFormat="1" x14ac:dyDescent="0.25">
      <c r="A750" s="26"/>
      <c r="B750" s="26"/>
      <c r="C750" s="30"/>
      <c r="D750" s="35" t="s">
        <v>241</v>
      </c>
      <c r="E750" s="36">
        <v>12</v>
      </c>
      <c r="F750" s="98">
        <v>300</v>
      </c>
      <c r="G750" s="35">
        <v>460</v>
      </c>
      <c r="H750" s="40">
        <v>208.7</v>
      </c>
      <c r="I750" s="38" t="s">
        <v>1006</v>
      </c>
      <c r="J750" s="34">
        <f>IFERROR(_xlfn.XLOOKUP(I750,Index!$A:$A,Index!$B:$B),"")</f>
        <v>25980</v>
      </c>
      <c r="K750"/>
      <c r="L750"/>
      <c r="M750"/>
      <c r="N750"/>
      <c r="O750"/>
      <c r="P750"/>
    </row>
    <row r="751" spans="1:16" s="1" customFormat="1" x14ac:dyDescent="0.25">
      <c r="A751" s="26"/>
      <c r="B751" s="26"/>
      <c r="C751" s="30"/>
      <c r="D751" s="35" t="s">
        <v>53</v>
      </c>
      <c r="E751" s="36">
        <v>12</v>
      </c>
      <c r="F751" s="98">
        <v>300</v>
      </c>
      <c r="G751" s="35">
        <v>460</v>
      </c>
      <c r="H751" s="40">
        <v>208.7</v>
      </c>
      <c r="I751" s="268" t="s">
        <v>5610</v>
      </c>
      <c r="J751" s="34">
        <f>IFERROR(_xlfn.XLOOKUP(I751,Index!$A:$A,Index!$B:$B),"")</f>
        <v>27279</v>
      </c>
      <c r="K751"/>
      <c r="L751"/>
      <c r="M751"/>
      <c r="N751"/>
      <c r="O751"/>
      <c r="P751"/>
    </row>
    <row r="752" spans="1:16" s="1" customFormat="1" x14ac:dyDescent="0.25">
      <c r="A752" s="27"/>
      <c r="B752" s="27"/>
      <c r="C752" s="31"/>
      <c r="D752" s="85" t="s">
        <v>55</v>
      </c>
      <c r="E752" s="36">
        <v>12</v>
      </c>
      <c r="F752" s="98">
        <v>300</v>
      </c>
      <c r="G752" s="35">
        <v>460</v>
      </c>
      <c r="H752" s="40">
        <v>208.7</v>
      </c>
      <c r="I752" s="268" t="s">
        <v>5611</v>
      </c>
      <c r="J752" s="34">
        <f>IFERROR(_xlfn.XLOOKUP(I752,Index!$A:$A,Index!$B:$B),"")</f>
        <v>27279</v>
      </c>
      <c r="K752"/>
      <c r="L752"/>
      <c r="M752"/>
      <c r="N752"/>
      <c r="O752"/>
      <c r="P752"/>
    </row>
    <row r="753" spans="1:16" s="1" customFormat="1" x14ac:dyDescent="0.25">
      <c r="A753" s="12"/>
      <c r="B753" s="12"/>
      <c r="C753" s="4"/>
      <c r="D753" s="4"/>
      <c r="E753" s="5"/>
      <c r="F753" s="112"/>
      <c r="G753" s="4"/>
      <c r="H753" s="19"/>
      <c r="I753" s="19"/>
      <c r="J753" s="20"/>
      <c r="K753"/>
      <c r="L753"/>
      <c r="M753"/>
      <c r="N753"/>
      <c r="O753"/>
      <c r="P753"/>
    </row>
    <row r="754" spans="1:16" s="1" customFormat="1" x14ac:dyDescent="0.25">
      <c r="A754" s="12"/>
      <c r="B754" s="12"/>
      <c r="C754" s="4"/>
      <c r="D754" s="4"/>
      <c r="E754" s="5"/>
      <c r="F754" s="113"/>
      <c r="G754" s="4"/>
      <c r="H754" s="19"/>
      <c r="I754" s="19"/>
      <c r="J754" s="20"/>
      <c r="K754"/>
      <c r="L754"/>
      <c r="M754"/>
      <c r="N754"/>
      <c r="O754"/>
      <c r="P754"/>
    </row>
    <row r="755" spans="1:16" s="1" customFormat="1" x14ac:dyDescent="0.25">
      <c r="A755" s="12"/>
      <c r="B755" s="12"/>
      <c r="C755" s="4"/>
      <c r="D755" s="4"/>
      <c r="E755" s="5"/>
      <c r="F755" s="113"/>
      <c r="G755" s="4"/>
      <c r="H755" s="19"/>
      <c r="I755" s="19"/>
      <c r="J755" s="20"/>
      <c r="K755"/>
      <c r="L755"/>
      <c r="M755"/>
      <c r="N755"/>
      <c r="O755"/>
      <c r="P755"/>
    </row>
    <row r="756" spans="1:16" s="1" customFormat="1" ht="15.75" x14ac:dyDescent="0.25">
      <c r="A756" s="217" t="s">
        <v>1007</v>
      </c>
      <c r="B756" s="18"/>
      <c r="C756" s="231"/>
      <c r="D756" s="49"/>
      <c r="E756" s="50"/>
      <c r="F756" s="101"/>
      <c r="G756" s="108"/>
      <c r="H756" s="53"/>
      <c r="I756" s="53"/>
      <c r="J756" s="54"/>
      <c r="K756"/>
      <c r="L756"/>
      <c r="M756"/>
      <c r="N756"/>
      <c r="O756"/>
      <c r="P756"/>
    </row>
    <row r="757" spans="1:16" s="1" customFormat="1" ht="15.75" x14ac:dyDescent="0.25">
      <c r="A757" s="48" t="s">
        <v>102</v>
      </c>
      <c r="B757" s="57"/>
      <c r="C757" s="58"/>
      <c r="D757" s="58"/>
      <c r="E757" s="59"/>
      <c r="F757" s="101"/>
      <c r="G757" s="58"/>
      <c r="H757" s="53"/>
      <c r="I757" s="53"/>
      <c r="J757" s="54"/>
      <c r="K757"/>
      <c r="L757"/>
      <c r="M757"/>
      <c r="N757"/>
      <c r="O757"/>
      <c r="P757"/>
    </row>
    <row r="758" spans="1:16" s="1" customFormat="1" x14ac:dyDescent="0.25">
      <c r="A758" s="25" t="s">
        <v>35</v>
      </c>
      <c r="B758" s="28" t="s">
        <v>103</v>
      </c>
      <c r="C758" s="335" t="s">
        <v>38</v>
      </c>
      <c r="D758" s="336"/>
      <c r="E758" s="42" t="s">
        <v>40</v>
      </c>
      <c r="F758" s="43" t="s">
        <v>41</v>
      </c>
      <c r="G758"/>
      <c r="H758"/>
      <c r="I758"/>
      <c r="J758"/>
      <c r="K758"/>
      <c r="L758"/>
    </row>
    <row r="759" spans="1:16" s="1" customFormat="1" x14ac:dyDescent="0.25">
      <c r="A759" s="32"/>
      <c r="B759" s="32"/>
      <c r="C759" s="33" t="s">
        <v>44</v>
      </c>
      <c r="D759" s="33" t="s">
        <v>45</v>
      </c>
      <c r="E759" s="33"/>
      <c r="F759" s="44"/>
      <c r="G759"/>
      <c r="H759"/>
      <c r="I759"/>
      <c r="J759"/>
      <c r="K759"/>
      <c r="L759"/>
    </row>
    <row r="760" spans="1:16" s="1" customFormat="1" x14ac:dyDescent="0.25">
      <c r="A760" s="145" t="s">
        <v>2991</v>
      </c>
      <c r="B760" s="146" t="s">
        <v>104</v>
      </c>
      <c r="C760" s="64">
        <v>0.5</v>
      </c>
      <c r="D760" s="36">
        <v>15</v>
      </c>
      <c r="E760" s="36" t="s">
        <v>203</v>
      </c>
      <c r="F760" s="34">
        <f>IFERROR(_xlfn.XLOOKUP(E760,Index!$A:$A,Index!$B:$B),"")</f>
        <v>5.75</v>
      </c>
      <c r="G760"/>
      <c r="H760"/>
      <c r="I760"/>
      <c r="J760"/>
      <c r="K760"/>
      <c r="L760"/>
    </row>
    <row r="761" spans="1:16" s="1" customFormat="1" x14ac:dyDescent="0.25">
      <c r="A761" s="26"/>
      <c r="B761" s="26"/>
      <c r="C761" s="61" t="s">
        <v>217</v>
      </c>
      <c r="D761" s="35">
        <v>20</v>
      </c>
      <c r="E761" s="35" t="s">
        <v>206</v>
      </c>
      <c r="F761" s="34">
        <f>IFERROR(_xlfn.XLOOKUP(E761,Index!$A:$A,Index!$B:$B),"")</f>
        <v>8.5</v>
      </c>
      <c r="G761"/>
      <c r="H761"/>
      <c r="I761"/>
      <c r="J761"/>
      <c r="K761"/>
      <c r="L761"/>
    </row>
    <row r="762" spans="1:16" s="1" customFormat="1" x14ac:dyDescent="0.25">
      <c r="A762" s="26"/>
      <c r="B762" s="26"/>
      <c r="C762" s="35">
        <v>1</v>
      </c>
      <c r="D762" s="35">
        <v>25</v>
      </c>
      <c r="E762" s="35" t="s">
        <v>206</v>
      </c>
      <c r="F762" s="34">
        <f>IFERROR(_xlfn.XLOOKUP(E762,Index!$A:$A,Index!$B:$B),"")</f>
        <v>8.5</v>
      </c>
      <c r="G762"/>
      <c r="H762"/>
      <c r="I762"/>
      <c r="J762"/>
      <c r="K762"/>
      <c r="L762"/>
    </row>
    <row r="763" spans="1:16" s="1" customFormat="1" x14ac:dyDescent="0.25">
      <c r="A763" s="26"/>
      <c r="B763" s="26"/>
      <c r="C763" s="35" t="s">
        <v>223</v>
      </c>
      <c r="D763" s="35">
        <v>32</v>
      </c>
      <c r="E763" s="35" t="s">
        <v>206</v>
      </c>
      <c r="F763" s="34">
        <f>IFERROR(_xlfn.XLOOKUP(E763,Index!$A:$A,Index!$B:$B),"")</f>
        <v>8.5</v>
      </c>
      <c r="G763"/>
      <c r="H763"/>
      <c r="I763"/>
      <c r="J763"/>
      <c r="K763"/>
      <c r="L763"/>
    </row>
    <row r="764" spans="1:16" s="1" customFormat="1" x14ac:dyDescent="0.25">
      <c r="A764" s="26"/>
      <c r="B764" s="26"/>
      <c r="C764" s="35" t="s">
        <v>225</v>
      </c>
      <c r="D764" s="35">
        <v>40</v>
      </c>
      <c r="E764" s="35" t="s">
        <v>206</v>
      </c>
      <c r="F764" s="34">
        <f>IFERROR(_xlfn.XLOOKUP(E764,Index!$A:$A,Index!$B:$B),"")</f>
        <v>8.5</v>
      </c>
      <c r="G764"/>
      <c r="H764"/>
      <c r="I764"/>
      <c r="J764"/>
      <c r="K764"/>
      <c r="L764"/>
    </row>
    <row r="765" spans="1:16" s="1" customFormat="1" x14ac:dyDescent="0.25">
      <c r="A765" s="26"/>
      <c r="B765" s="26"/>
      <c r="C765" s="35">
        <v>2</v>
      </c>
      <c r="D765" s="35">
        <v>50</v>
      </c>
      <c r="E765" s="35" t="s">
        <v>1008</v>
      </c>
      <c r="F765" s="34">
        <f>IFERROR(_xlfn.XLOOKUP(E765,Index!$A:$A,Index!$B:$B),"")</f>
        <v>9.75</v>
      </c>
      <c r="G765"/>
      <c r="H765"/>
      <c r="I765"/>
      <c r="J765"/>
      <c r="K765"/>
      <c r="L765"/>
    </row>
    <row r="766" spans="1:16" s="1" customFormat="1" x14ac:dyDescent="0.25">
      <c r="A766" s="26"/>
      <c r="B766" s="26"/>
      <c r="C766" s="35" t="s">
        <v>231</v>
      </c>
      <c r="D766" s="35">
        <v>65</v>
      </c>
      <c r="E766" s="35" t="s">
        <v>1009</v>
      </c>
      <c r="F766" s="34">
        <f>IFERROR(_xlfn.XLOOKUP(E766,Index!$A:$A,Index!$B:$B),"")</f>
        <v>12.25</v>
      </c>
      <c r="G766"/>
      <c r="H766"/>
      <c r="I766"/>
      <c r="J766"/>
      <c r="K766"/>
      <c r="L766"/>
    </row>
    <row r="767" spans="1:16" s="1" customFormat="1" x14ac:dyDescent="0.25">
      <c r="A767" s="26"/>
      <c r="B767" s="26"/>
      <c r="C767" s="35">
        <v>3</v>
      </c>
      <c r="D767" s="35">
        <v>80</v>
      </c>
      <c r="E767" s="35" t="s">
        <v>209</v>
      </c>
      <c r="F767" s="34">
        <f>IFERROR(_xlfn.XLOOKUP(E767,Index!$A:$A,Index!$B:$B),"")</f>
        <v>12.25</v>
      </c>
      <c r="G767"/>
      <c r="H767"/>
      <c r="I767"/>
      <c r="J767"/>
      <c r="K767"/>
      <c r="L767"/>
    </row>
    <row r="768" spans="1:16" s="1" customFormat="1" x14ac:dyDescent="0.25">
      <c r="A768" s="26"/>
      <c r="B768" s="26"/>
      <c r="C768" s="35">
        <v>4</v>
      </c>
      <c r="D768" s="35">
        <v>100</v>
      </c>
      <c r="E768" s="35" t="s">
        <v>1010</v>
      </c>
      <c r="F768" s="34">
        <f>IFERROR(_xlfn.XLOOKUP(E768,Index!$A:$A,Index!$B:$B),"")</f>
        <v>12.25</v>
      </c>
      <c r="G768"/>
      <c r="H768"/>
      <c r="I768"/>
      <c r="J768"/>
      <c r="K768"/>
      <c r="L768"/>
    </row>
    <row r="769" spans="1:12" s="1" customFormat="1" x14ac:dyDescent="0.25">
      <c r="A769" s="26"/>
      <c r="B769" s="26"/>
      <c r="C769" s="35">
        <v>5</v>
      </c>
      <c r="D769" s="35">
        <v>125</v>
      </c>
      <c r="E769" s="35" t="s">
        <v>1011</v>
      </c>
      <c r="F769" s="34">
        <f>IFERROR(_xlfn.XLOOKUP(E769,Index!$A:$A,Index!$B:$B),"")</f>
        <v>16.5</v>
      </c>
      <c r="G769"/>
      <c r="H769"/>
      <c r="I769"/>
      <c r="J769"/>
      <c r="K769"/>
      <c r="L769"/>
    </row>
    <row r="770" spans="1:12" s="1" customFormat="1" x14ac:dyDescent="0.25">
      <c r="A770" s="26"/>
      <c r="B770" s="26"/>
      <c r="C770" s="35">
        <v>6</v>
      </c>
      <c r="D770" s="35">
        <v>150</v>
      </c>
      <c r="E770" s="35" t="s">
        <v>1011</v>
      </c>
      <c r="F770" s="34">
        <f>IFERROR(_xlfn.XLOOKUP(E770,Index!$A:$A,Index!$B:$B),"")</f>
        <v>16.5</v>
      </c>
      <c r="G770"/>
      <c r="H770"/>
      <c r="I770"/>
      <c r="J770"/>
      <c r="K770"/>
      <c r="L770"/>
    </row>
    <row r="771" spans="1:12" s="1" customFormat="1" x14ac:dyDescent="0.25">
      <c r="A771" s="26"/>
      <c r="B771" s="26"/>
      <c r="C771" s="35">
        <v>8</v>
      </c>
      <c r="D771" s="35">
        <v>200</v>
      </c>
      <c r="E771" s="35" t="s">
        <v>1012</v>
      </c>
      <c r="F771" s="34">
        <f>IFERROR(_xlfn.XLOOKUP(E771,Index!$A:$A,Index!$B:$B),"")</f>
        <v>132</v>
      </c>
      <c r="G771"/>
      <c r="H771"/>
      <c r="I771"/>
      <c r="J771"/>
      <c r="K771"/>
      <c r="L771"/>
    </row>
    <row r="772" spans="1:12" s="1" customFormat="1" x14ac:dyDescent="0.25">
      <c r="A772" s="26"/>
      <c r="B772" s="26"/>
      <c r="C772" s="35">
        <v>10</v>
      </c>
      <c r="D772" s="35">
        <v>250</v>
      </c>
      <c r="E772" s="35" t="s">
        <v>1013</v>
      </c>
      <c r="F772" s="34">
        <f>IFERROR(_xlfn.XLOOKUP(E772,Index!$A:$A,Index!$B:$B),"")</f>
        <v>24</v>
      </c>
      <c r="G772"/>
      <c r="H772"/>
      <c r="I772"/>
      <c r="J772"/>
      <c r="K772"/>
      <c r="L772"/>
    </row>
    <row r="773" spans="1:12" s="1" customFormat="1" x14ac:dyDescent="0.25">
      <c r="A773" s="26"/>
      <c r="B773" s="26"/>
      <c r="C773" s="35">
        <v>12</v>
      </c>
      <c r="D773" s="35">
        <v>300</v>
      </c>
      <c r="E773" s="35" t="s">
        <v>1014</v>
      </c>
      <c r="F773" s="34">
        <f>IFERROR(_xlfn.XLOOKUP(E773,Index!$A:$A,Index!$B:$B),"")</f>
        <v>24</v>
      </c>
      <c r="G773"/>
      <c r="H773"/>
      <c r="I773"/>
      <c r="J773"/>
      <c r="K773"/>
      <c r="L773"/>
    </row>
    <row r="774" spans="1:12" s="1" customFormat="1" x14ac:dyDescent="0.25">
      <c r="A774" s="26"/>
      <c r="B774" s="26"/>
      <c r="C774" s="35">
        <v>14</v>
      </c>
      <c r="D774" s="35">
        <v>350</v>
      </c>
      <c r="E774" s="35" t="s">
        <v>1015</v>
      </c>
      <c r="F774" s="34">
        <f>IFERROR(_xlfn.XLOOKUP(E774,Index!$A:$A,Index!$B:$B),"")</f>
        <v>48.75</v>
      </c>
      <c r="G774"/>
      <c r="H774"/>
      <c r="I774"/>
      <c r="J774"/>
      <c r="K774"/>
      <c r="L774"/>
    </row>
    <row r="775" spans="1:12" s="1" customFormat="1" x14ac:dyDescent="0.25">
      <c r="A775" s="26"/>
      <c r="B775" s="26"/>
      <c r="C775" s="35">
        <v>16</v>
      </c>
      <c r="D775" s="35">
        <v>400</v>
      </c>
      <c r="E775" s="35" t="s">
        <v>1016</v>
      </c>
      <c r="F775" s="34">
        <f>IFERROR(_xlfn.XLOOKUP(E775,Index!$A:$A,Index!$B:$B),"")</f>
        <v>48.75</v>
      </c>
      <c r="G775"/>
      <c r="H775"/>
      <c r="I775"/>
      <c r="J775"/>
      <c r="K775"/>
      <c r="L775"/>
    </row>
    <row r="776" spans="1:12" s="1" customFormat="1" x14ac:dyDescent="0.25">
      <c r="A776" s="26"/>
      <c r="B776" s="26"/>
      <c r="C776" s="35">
        <v>18</v>
      </c>
      <c r="D776" s="35">
        <v>450</v>
      </c>
      <c r="E776" s="35" t="s">
        <v>1017</v>
      </c>
      <c r="F776" s="34">
        <f>IFERROR(_xlfn.XLOOKUP(E776,Index!$A:$A,Index!$B:$B),"")</f>
        <v>95</v>
      </c>
      <c r="G776"/>
      <c r="H776"/>
      <c r="I776"/>
      <c r="J776"/>
      <c r="K776"/>
      <c r="L776"/>
    </row>
    <row r="777" spans="1:12" s="1" customFormat="1" x14ac:dyDescent="0.25">
      <c r="A777" s="26"/>
      <c r="B777" s="26"/>
      <c r="C777" s="35">
        <v>20</v>
      </c>
      <c r="D777" s="35">
        <v>500</v>
      </c>
      <c r="E777" s="35" t="s">
        <v>1018</v>
      </c>
      <c r="F777" s="34">
        <f>IFERROR(_xlfn.XLOOKUP(E777,Index!$A:$A,Index!$B:$B),"")</f>
        <v>100</v>
      </c>
      <c r="G777"/>
      <c r="H777"/>
      <c r="I777"/>
      <c r="J777"/>
      <c r="K777"/>
      <c r="L777"/>
    </row>
    <row r="778" spans="1:12" s="1" customFormat="1" x14ac:dyDescent="0.25">
      <c r="A778" s="26"/>
      <c r="B778" s="27"/>
      <c r="C778" s="35">
        <v>24</v>
      </c>
      <c r="D778" s="35">
        <v>550</v>
      </c>
      <c r="E778" s="35" t="s">
        <v>1019</v>
      </c>
      <c r="F778" s="34">
        <f>IFERROR(_xlfn.XLOOKUP(E778,Index!$A:$A,Index!$B:$B),"")</f>
        <v>100</v>
      </c>
      <c r="G778"/>
      <c r="H778"/>
      <c r="I778"/>
      <c r="J778"/>
      <c r="K778"/>
      <c r="L778"/>
    </row>
    <row r="779" spans="1:12" s="1" customFormat="1" x14ac:dyDescent="0.25">
      <c r="A779" s="26"/>
      <c r="B779" s="60" t="s">
        <v>210</v>
      </c>
      <c r="C779" s="65">
        <v>0.5</v>
      </c>
      <c r="D779" s="35">
        <v>15</v>
      </c>
      <c r="E779" s="35" t="s">
        <v>927</v>
      </c>
      <c r="F779" s="34">
        <f>IFERROR(_xlfn.XLOOKUP(E779,Index!$A:$A,Index!$B:$B),"")</f>
        <v>63.5</v>
      </c>
      <c r="G779"/>
      <c r="H779"/>
      <c r="I779"/>
      <c r="J779"/>
      <c r="K779"/>
      <c r="L779"/>
    </row>
    <row r="780" spans="1:12" s="1" customFormat="1" x14ac:dyDescent="0.25">
      <c r="A780" s="26"/>
      <c r="B780" s="26"/>
      <c r="C780" s="61" t="s">
        <v>217</v>
      </c>
      <c r="D780" s="35">
        <v>20</v>
      </c>
      <c r="E780" s="35" t="s">
        <v>928</v>
      </c>
      <c r="F780" s="34">
        <f>IFERROR(_xlfn.XLOOKUP(E780,Index!$A:$A,Index!$B:$B),"")</f>
        <v>63.5</v>
      </c>
      <c r="G780"/>
      <c r="H780"/>
      <c r="I780"/>
      <c r="J780"/>
      <c r="K780"/>
      <c r="L780"/>
    </row>
    <row r="781" spans="1:12" s="1" customFormat="1" x14ac:dyDescent="0.25">
      <c r="A781" s="26"/>
      <c r="B781" s="26"/>
      <c r="C781" s="35">
        <v>1</v>
      </c>
      <c r="D781" s="35">
        <v>25</v>
      </c>
      <c r="E781" s="35" t="s">
        <v>929</v>
      </c>
      <c r="F781" s="34">
        <f>IFERROR(_xlfn.XLOOKUP(E781,Index!$A:$A,Index!$B:$B),"")</f>
        <v>73.5</v>
      </c>
      <c r="G781"/>
      <c r="H781"/>
      <c r="I781"/>
      <c r="J781"/>
      <c r="K781"/>
      <c r="L781"/>
    </row>
    <row r="782" spans="1:12" s="1" customFormat="1" x14ac:dyDescent="0.25">
      <c r="A782" s="26"/>
      <c r="B782" s="26"/>
      <c r="C782" s="35" t="s">
        <v>223</v>
      </c>
      <c r="D782" s="35">
        <v>32</v>
      </c>
      <c r="E782" s="35" t="s">
        <v>930</v>
      </c>
      <c r="F782" s="34">
        <f>IFERROR(_xlfn.XLOOKUP(E782,Index!$A:$A,Index!$B:$B),"")</f>
        <v>80.5</v>
      </c>
      <c r="G782"/>
      <c r="H782"/>
      <c r="I782"/>
      <c r="J782"/>
      <c r="K782"/>
      <c r="L782"/>
    </row>
    <row r="783" spans="1:12" s="1" customFormat="1" x14ac:dyDescent="0.25">
      <c r="A783" s="26"/>
      <c r="B783" s="26"/>
      <c r="C783" s="35" t="s">
        <v>225</v>
      </c>
      <c r="D783" s="35">
        <v>40</v>
      </c>
      <c r="E783" s="35" t="s">
        <v>930</v>
      </c>
      <c r="F783" s="34">
        <f>IFERROR(_xlfn.XLOOKUP(E783,Index!$A:$A,Index!$B:$B),"")</f>
        <v>80.5</v>
      </c>
      <c r="G783"/>
      <c r="H783"/>
      <c r="I783"/>
      <c r="J783"/>
      <c r="K783"/>
      <c r="L783"/>
    </row>
    <row r="784" spans="1:12" s="1" customFormat="1" x14ac:dyDescent="0.25">
      <c r="A784" s="26"/>
      <c r="B784" s="26"/>
      <c r="C784" s="35">
        <v>2</v>
      </c>
      <c r="D784" s="35">
        <v>50</v>
      </c>
      <c r="E784" s="35" t="s">
        <v>294</v>
      </c>
      <c r="F784" s="34">
        <f>IFERROR(_xlfn.XLOOKUP(E784,Index!$A:$A,Index!$B:$B),"")</f>
        <v>88.5</v>
      </c>
      <c r="G784"/>
      <c r="H784"/>
      <c r="I784"/>
      <c r="J784"/>
      <c r="K784"/>
      <c r="L784"/>
    </row>
    <row r="785" spans="1:12" s="1" customFormat="1" x14ac:dyDescent="0.25">
      <c r="A785" s="26"/>
      <c r="B785" s="26"/>
      <c r="C785" s="35" t="s">
        <v>231</v>
      </c>
      <c r="D785" s="35">
        <v>65</v>
      </c>
      <c r="E785" s="35" t="s">
        <v>295</v>
      </c>
      <c r="F785" s="34">
        <f>IFERROR(_xlfn.XLOOKUP(E785,Index!$A:$A,Index!$B:$B),"")</f>
        <v>93.5</v>
      </c>
      <c r="G785"/>
      <c r="H785"/>
      <c r="I785"/>
      <c r="J785"/>
      <c r="K785"/>
      <c r="L785"/>
    </row>
    <row r="786" spans="1:12" s="1" customFormat="1" x14ac:dyDescent="0.25">
      <c r="A786" s="26"/>
      <c r="B786" s="26"/>
      <c r="C786" s="35">
        <v>3</v>
      </c>
      <c r="D786" s="35">
        <v>80</v>
      </c>
      <c r="E786" s="35" t="s">
        <v>296</v>
      </c>
      <c r="F786" s="34">
        <f>IFERROR(_xlfn.XLOOKUP(E786,Index!$A:$A,Index!$B:$B),"")</f>
        <v>124.5</v>
      </c>
      <c r="G786"/>
      <c r="H786"/>
      <c r="I786"/>
      <c r="J786"/>
      <c r="K786"/>
      <c r="L786"/>
    </row>
    <row r="787" spans="1:12" s="1" customFormat="1" x14ac:dyDescent="0.25">
      <c r="A787" s="26"/>
      <c r="B787" s="26"/>
      <c r="C787" s="35">
        <v>4</v>
      </c>
      <c r="D787" s="35">
        <v>100</v>
      </c>
      <c r="E787" s="35" t="s">
        <v>297</v>
      </c>
      <c r="F787" s="34">
        <f>IFERROR(_xlfn.XLOOKUP(E787,Index!$A:$A,Index!$B:$B),"")</f>
        <v>133.5</v>
      </c>
      <c r="G787"/>
      <c r="H787"/>
      <c r="I787"/>
      <c r="J787"/>
      <c r="K787"/>
      <c r="L787"/>
    </row>
    <row r="788" spans="1:12" s="1" customFormat="1" x14ac:dyDescent="0.25">
      <c r="A788" s="26"/>
      <c r="B788" s="60" t="s">
        <v>298</v>
      </c>
      <c r="C788" s="35">
        <v>5</v>
      </c>
      <c r="D788" s="35">
        <v>125</v>
      </c>
      <c r="E788" s="35" t="s">
        <v>931</v>
      </c>
      <c r="F788" s="34">
        <f>IFERROR(_xlfn.XLOOKUP(E788,Index!$A:$A,Index!$B:$B),"")</f>
        <v>225</v>
      </c>
      <c r="G788"/>
      <c r="H788"/>
      <c r="I788"/>
      <c r="J788"/>
      <c r="K788"/>
      <c r="L788"/>
    </row>
    <row r="789" spans="1:12" s="1" customFormat="1" x14ac:dyDescent="0.25">
      <c r="A789" s="26"/>
      <c r="B789" s="26"/>
      <c r="C789" s="35">
        <v>6</v>
      </c>
      <c r="D789" s="35">
        <v>150</v>
      </c>
      <c r="E789" s="35" t="s">
        <v>300</v>
      </c>
      <c r="F789" s="34">
        <f>IFERROR(_xlfn.XLOOKUP(E789,Index!$A:$A,Index!$B:$B),"")</f>
        <v>296.5</v>
      </c>
      <c r="G789"/>
      <c r="H789"/>
      <c r="I789"/>
      <c r="J789"/>
      <c r="K789"/>
      <c r="L789"/>
    </row>
    <row r="790" spans="1:12" s="1" customFormat="1" x14ac:dyDescent="0.25">
      <c r="A790" s="26"/>
      <c r="B790" s="26"/>
      <c r="C790" s="35">
        <v>8</v>
      </c>
      <c r="D790" s="35">
        <v>200</v>
      </c>
      <c r="E790" s="35" t="s">
        <v>301</v>
      </c>
      <c r="F790" s="34">
        <f>IFERROR(_xlfn.XLOOKUP(E790,Index!$A:$A,Index!$B:$B),"")</f>
        <v>516</v>
      </c>
      <c r="G790"/>
      <c r="H790"/>
      <c r="I790"/>
      <c r="J790"/>
      <c r="K790"/>
      <c r="L790"/>
    </row>
    <row r="791" spans="1:12" s="1" customFormat="1" x14ac:dyDescent="0.25">
      <c r="A791" s="26"/>
      <c r="B791" s="26"/>
      <c r="C791" s="35">
        <v>10</v>
      </c>
      <c r="D791" s="35">
        <v>250</v>
      </c>
      <c r="E791" s="35" t="s">
        <v>302</v>
      </c>
      <c r="F791" s="34">
        <f>IFERROR(_xlfn.XLOOKUP(E791,Index!$A:$A,Index!$B:$B),"")</f>
        <v>707</v>
      </c>
      <c r="G791"/>
      <c r="H791"/>
      <c r="I791"/>
      <c r="J791"/>
      <c r="K791"/>
      <c r="L791"/>
    </row>
    <row r="792" spans="1:12" s="1" customFormat="1" x14ac:dyDescent="0.25">
      <c r="A792" s="26"/>
      <c r="B792" s="26"/>
      <c r="C792" s="35">
        <v>12</v>
      </c>
      <c r="D792" s="35">
        <v>300</v>
      </c>
      <c r="E792" s="35" t="s">
        <v>6339</v>
      </c>
      <c r="F792" s="34">
        <f>IFERROR(_xlfn.XLOOKUP(E792,Index!$A:$A,Index!$B:$B),"")</f>
        <v>889.5</v>
      </c>
      <c r="G792"/>
      <c r="H792"/>
      <c r="I792"/>
      <c r="J792"/>
      <c r="K792"/>
      <c r="L792"/>
    </row>
    <row r="793" spans="1:12" s="1" customFormat="1" x14ac:dyDescent="0.25">
      <c r="A793" s="26"/>
      <c r="B793" s="26"/>
      <c r="C793" s="35">
        <v>14</v>
      </c>
      <c r="D793" s="35">
        <v>350</v>
      </c>
      <c r="E793" s="35" t="s">
        <v>6338</v>
      </c>
      <c r="F793" s="34">
        <f>IFERROR(_xlfn.XLOOKUP(E793,Index!$A:$A,Index!$B:$B),"")</f>
        <v>889.5</v>
      </c>
      <c r="G793"/>
      <c r="H793"/>
      <c r="I793"/>
      <c r="J793"/>
      <c r="K793"/>
      <c r="L793"/>
    </row>
    <row r="794" spans="1:12" s="1" customFormat="1" x14ac:dyDescent="0.25">
      <c r="A794" s="26"/>
      <c r="B794" s="26"/>
      <c r="C794" s="35">
        <v>16</v>
      </c>
      <c r="D794" s="35">
        <v>400</v>
      </c>
      <c r="E794" s="35" t="s">
        <v>303</v>
      </c>
      <c r="F794" s="34">
        <f>IFERROR(_xlfn.XLOOKUP(E794,Index!$A:$A,Index!$B:$B),"")</f>
        <v>1485</v>
      </c>
      <c r="G794"/>
      <c r="H794"/>
      <c r="I794"/>
      <c r="J794"/>
      <c r="K794"/>
      <c r="L794"/>
    </row>
    <row r="795" spans="1:12" s="1" customFormat="1" x14ac:dyDescent="0.25">
      <c r="A795" s="26"/>
      <c r="B795" s="26"/>
      <c r="C795" s="35">
        <v>18</v>
      </c>
      <c r="D795" s="35">
        <v>450</v>
      </c>
      <c r="E795" s="35" t="s">
        <v>932</v>
      </c>
      <c r="F795" s="34">
        <f>IFERROR(_xlfn.XLOOKUP(E795,Index!$A:$A,Index!$B:$B),"")</f>
        <v>3938</v>
      </c>
      <c r="G795"/>
      <c r="H795"/>
      <c r="I795"/>
      <c r="J795"/>
      <c r="K795"/>
      <c r="L795"/>
    </row>
    <row r="796" spans="1:12" s="1" customFormat="1" x14ac:dyDescent="0.25">
      <c r="A796" s="26"/>
      <c r="B796" s="26"/>
      <c r="C796" s="35">
        <v>20</v>
      </c>
      <c r="D796" s="35">
        <v>500</v>
      </c>
      <c r="E796" s="35" t="s">
        <v>305</v>
      </c>
      <c r="F796" s="34">
        <f>IFERROR(_xlfn.XLOOKUP(E796,Index!$A:$A,Index!$B:$B),"")</f>
        <v>5594</v>
      </c>
      <c r="G796"/>
      <c r="H796"/>
      <c r="I796"/>
      <c r="J796"/>
      <c r="K796"/>
      <c r="L796"/>
    </row>
    <row r="797" spans="1:12" s="1" customFormat="1" x14ac:dyDescent="0.25">
      <c r="A797" s="26"/>
      <c r="B797" s="27"/>
      <c r="C797" s="35">
        <v>24</v>
      </c>
      <c r="D797" s="35">
        <v>550</v>
      </c>
      <c r="E797" s="35" t="s">
        <v>306</v>
      </c>
      <c r="F797" s="34">
        <f>IFERROR(_xlfn.XLOOKUP(E797,Index!$A:$A,Index!$B:$B),"")</f>
        <v>7737</v>
      </c>
      <c r="G797"/>
      <c r="H797"/>
      <c r="I797"/>
      <c r="J797"/>
      <c r="K797"/>
      <c r="L797"/>
    </row>
    <row r="798" spans="1:12" s="1" customFormat="1" x14ac:dyDescent="0.25">
      <c r="A798" s="26"/>
      <c r="B798" s="60" t="s">
        <v>211</v>
      </c>
      <c r="C798" s="65">
        <v>0.5</v>
      </c>
      <c r="D798" s="35">
        <v>15</v>
      </c>
      <c r="E798" s="35" t="s">
        <v>2853</v>
      </c>
      <c r="F798" s="34">
        <f>IFERROR(_xlfn.XLOOKUP(E798,Index!$A:$A,Index!$B:$B),"")</f>
        <v>83.25</v>
      </c>
      <c r="G798"/>
      <c r="H798"/>
      <c r="I798"/>
      <c r="J798"/>
      <c r="K798"/>
      <c r="L798"/>
    </row>
    <row r="799" spans="1:12" s="1" customFormat="1" x14ac:dyDescent="0.25">
      <c r="A799" s="26"/>
      <c r="B799" s="26"/>
      <c r="C799" s="61" t="s">
        <v>217</v>
      </c>
      <c r="D799" s="35">
        <v>20</v>
      </c>
      <c r="E799" s="35" t="s">
        <v>2854</v>
      </c>
      <c r="F799" s="34">
        <f>IFERROR(_xlfn.XLOOKUP(E799,Index!$A:$A,Index!$B:$B),"")</f>
        <v>83.25</v>
      </c>
      <c r="G799"/>
      <c r="H799"/>
      <c r="I799"/>
      <c r="J799"/>
      <c r="K799"/>
      <c r="L799"/>
    </row>
    <row r="800" spans="1:12" s="1" customFormat="1" x14ac:dyDescent="0.25">
      <c r="A800" s="26"/>
      <c r="B800" s="26"/>
      <c r="C800" s="35">
        <v>1</v>
      </c>
      <c r="D800" s="35">
        <v>25</v>
      </c>
      <c r="E800" s="35" t="s">
        <v>2854</v>
      </c>
      <c r="F800" s="34">
        <f>IFERROR(_xlfn.XLOOKUP(E800,Index!$A:$A,Index!$B:$B),"")</f>
        <v>83.25</v>
      </c>
      <c r="G800"/>
      <c r="H800"/>
      <c r="I800"/>
      <c r="J800"/>
      <c r="K800"/>
      <c r="L800"/>
    </row>
    <row r="801" spans="1:12" s="1" customFormat="1" x14ac:dyDescent="0.25">
      <c r="A801" s="26"/>
      <c r="B801" s="26"/>
      <c r="C801" s="35" t="s">
        <v>223</v>
      </c>
      <c r="D801" s="35">
        <v>32</v>
      </c>
      <c r="E801" s="35" t="s">
        <v>2857</v>
      </c>
      <c r="F801" s="34">
        <f>IFERROR(_xlfn.XLOOKUP(E801,Index!$A:$A,Index!$B:$B),"")</f>
        <v>92</v>
      </c>
      <c r="G801"/>
      <c r="H801"/>
      <c r="I801"/>
      <c r="J801"/>
      <c r="K801"/>
      <c r="L801"/>
    </row>
    <row r="802" spans="1:12" s="1" customFormat="1" x14ac:dyDescent="0.25">
      <c r="A802" s="26"/>
      <c r="B802" s="26"/>
      <c r="C802" s="35" t="s">
        <v>225</v>
      </c>
      <c r="D802" s="35">
        <v>40</v>
      </c>
      <c r="E802" s="35" t="s">
        <v>2857</v>
      </c>
      <c r="F802" s="34">
        <f>IFERROR(_xlfn.XLOOKUP(E802,Index!$A:$A,Index!$B:$B),"")</f>
        <v>92</v>
      </c>
      <c r="G802"/>
      <c r="H802"/>
      <c r="I802"/>
      <c r="J802"/>
      <c r="K802"/>
      <c r="L802"/>
    </row>
    <row r="803" spans="1:12" s="1" customFormat="1" x14ac:dyDescent="0.25">
      <c r="A803" s="26"/>
      <c r="B803" s="26"/>
      <c r="C803" s="35">
        <v>2</v>
      </c>
      <c r="D803" s="35">
        <v>50</v>
      </c>
      <c r="E803" s="35" t="s">
        <v>307</v>
      </c>
      <c r="F803" s="34">
        <f>IFERROR(_xlfn.XLOOKUP(E803,Index!$A:$A,Index!$B:$B),"")</f>
        <v>92</v>
      </c>
      <c r="G803"/>
      <c r="H803"/>
      <c r="I803"/>
      <c r="J803"/>
      <c r="K803"/>
      <c r="L803"/>
    </row>
    <row r="804" spans="1:12" s="1" customFormat="1" x14ac:dyDescent="0.25">
      <c r="A804" s="26"/>
      <c r="B804" s="26"/>
      <c r="C804" s="35" t="s">
        <v>231</v>
      </c>
      <c r="D804" s="35">
        <v>65</v>
      </c>
      <c r="E804" s="35" t="s">
        <v>308</v>
      </c>
      <c r="F804" s="34">
        <f>IFERROR(_xlfn.XLOOKUP(E804,Index!$A:$A,Index!$B:$B),"")</f>
        <v>108.5</v>
      </c>
      <c r="G804"/>
      <c r="H804"/>
      <c r="I804"/>
      <c r="J804"/>
      <c r="K804"/>
      <c r="L804"/>
    </row>
    <row r="805" spans="1:12" s="1" customFormat="1" x14ac:dyDescent="0.25">
      <c r="A805" s="26"/>
      <c r="B805" s="26"/>
      <c r="C805" s="35">
        <v>3</v>
      </c>
      <c r="D805" s="35">
        <v>80</v>
      </c>
      <c r="E805" s="35" t="s">
        <v>309</v>
      </c>
      <c r="F805" s="34">
        <f>IFERROR(_xlfn.XLOOKUP(E805,Index!$A:$A,Index!$B:$B),"")</f>
        <v>125</v>
      </c>
      <c r="G805"/>
      <c r="H805"/>
      <c r="I805"/>
      <c r="J805"/>
      <c r="K805"/>
      <c r="L805"/>
    </row>
    <row r="806" spans="1:12" s="1" customFormat="1" x14ac:dyDescent="0.25">
      <c r="A806" s="26"/>
      <c r="B806" s="26"/>
      <c r="C806" s="35">
        <v>4</v>
      </c>
      <c r="D806" s="35">
        <v>100</v>
      </c>
      <c r="E806" s="35" t="s">
        <v>310</v>
      </c>
      <c r="F806" s="34">
        <f>IFERROR(_xlfn.XLOOKUP(E806,Index!$A:$A,Index!$B:$B),"")</f>
        <v>204</v>
      </c>
      <c r="G806"/>
      <c r="H806"/>
      <c r="I806"/>
      <c r="J806"/>
      <c r="K806"/>
      <c r="L806"/>
    </row>
    <row r="807" spans="1:12" s="1" customFormat="1" x14ac:dyDescent="0.25">
      <c r="A807" s="26"/>
      <c r="B807" s="26"/>
      <c r="C807" s="35">
        <v>5</v>
      </c>
      <c r="D807" s="35">
        <v>125</v>
      </c>
      <c r="E807" s="35" t="s">
        <v>311</v>
      </c>
      <c r="F807" s="34">
        <f>IFERROR(_xlfn.XLOOKUP(E807,Index!$A:$A,Index!$B:$B),"")</f>
        <v>316</v>
      </c>
      <c r="G807"/>
      <c r="H807"/>
      <c r="I807"/>
      <c r="J807"/>
      <c r="K807"/>
      <c r="L807"/>
    </row>
    <row r="808" spans="1:12" s="1" customFormat="1" x14ac:dyDescent="0.25">
      <c r="A808" s="26"/>
      <c r="B808" s="26"/>
      <c r="C808" s="35">
        <v>6</v>
      </c>
      <c r="D808" s="35">
        <v>150</v>
      </c>
      <c r="E808" s="35" t="s">
        <v>312</v>
      </c>
      <c r="F808" s="34">
        <f>IFERROR(_xlfn.XLOOKUP(E808,Index!$A:$A,Index!$B:$B),"")</f>
        <v>394.5</v>
      </c>
      <c r="G808"/>
      <c r="H808"/>
      <c r="I808"/>
      <c r="J808"/>
      <c r="K808"/>
      <c r="L808"/>
    </row>
    <row r="809" spans="1:12" s="1" customFormat="1" x14ac:dyDescent="0.25">
      <c r="A809" s="26"/>
      <c r="B809" s="26"/>
      <c r="C809" s="35">
        <v>8</v>
      </c>
      <c r="D809" s="35">
        <v>200</v>
      </c>
      <c r="E809" s="35" t="s">
        <v>313</v>
      </c>
      <c r="F809" s="34">
        <f>IFERROR(_xlfn.XLOOKUP(E809,Index!$A:$A,Index!$B:$B),"")</f>
        <v>1246</v>
      </c>
      <c r="G809"/>
      <c r="H809"/>
      <c r="I809"/>
      <c r="J809"/>
      <c r="K809"/>
      <c r="L809"/>
    </row>
    <row r="810" spans="1:12" s="1" customFormat="1" x14ac:dyDescent="0.25">
      <c r="A810" s="26"/>
      <c r="B810" s="26"/>
      <c r="C810" s="35">
        <v>10</v>
      </c>
      <c r="D810" s="35">
        <v>250</v>
      </c>
      <c r="E810" s="35" t="s">
        <v>314</v>
      </c>
      <c r="F810" s="34">
        <f>IFERROR(_xlfn.XLOOKUP(E810,Index!$A:$A,Index!$B:$B),"")</f>
        <v>2084</v>
      </c>
      <c r="G810"/>
      <c r="H810"/>
      <c r="I810"/>
      <c r="J810"/>
      <c r="K810"/>
      <c r="L810"/>
    </row>
    <row r="811" spans="1:12" s="1" customFormat="1" x14ac:dyDescent="0.25">
      <c r="A811" s="26"/>
      <c r="B811" s="26"/>
      <c r="C811" s="35">
        <v>12</v>
      </c>
      <c r="D811" s="35">
        <v>300</v>
      </c>
      <c r="E811" s="35" t="s">
        <v>315</v>
      </c>
      <c r="F811" s="34">
        <f>IFERROR(_xlfn.XLOOKUP(E811,Index!$A:$A,Index!$B:$B),"")</f>
        <v>1943</v>
      </c>
      <c r="G811"/>
      <c r="H811"/>
      <c r="I811"/>
      <c r="J811"/>
      <c r="K811"/>
      <c r="L811"/>
    </row>
    <row r="812" spans="1:12" s="1" customFormat="1" x14ac:dyDescent="0.25">
      <c r="A812" s="26"/>
      <c r="B812" s="26"/>
      <c r="C812" s="35">
        <v>14</v>
      </c>
      <c r="D812" s="35">
        <v>350</v>
      </c>
      <c r="E812" s="35" t="s">
        <v>316</v>
      </c>
      <c r="F812" s="34">
        <f>IFERROR(_xlfn.XLOOKUP(E812,Index!$A:$A,Index!$B:$B),"")</f>
        <v>3150</v>
      </c>
      <c r="G812"/>
      <c r="H812"/>
      <c r="I812"/>
      <c r="J812"/>
      <c r="K812"/>
      <c r="L812"/>
    </row>
    <row r="813" spans="1:12" s="1" customFormat="1" x14ac:dyDescent="0.25">
      <c r="A813" s="26"/>
      <c r="B813" s="26"/>
      <c r="C813" s="35">
        <v>16</v>
      </c>
      <c r="D813" s="35">
        <v>400</v>
      </c>
      <c r="E813" s="35" t="s">
        <v>317</v>
      </c>
      <c r="F813" s="34">
        <f>IFERROR(_xlfn.XLOOKUP(E813,Index!$A:$A,Index!$B:$B),"")</f>
        <v>4435</v>
      </c>
      <c r="G813"/>
      <c r="H813"/>
      <c r="I813"/>
      <c r="J813"/>
      <c r="K813"/>
      <c r="L813"/>
    </row>
    <row r="814" spans="1:12" s="1" customFormat="1" x14ac:dyDescent="0.25">
      <c r="A814" s="26"/>
      <c r="B814" s="26"/>
      <c r="C814" s="35">
        <v>18</v>
      </c>
      <c r="D814" s="35">
        <v>450</v>
      </c>
      <c r="E814" s="35" t="s">
        <v>318</v>
      </c>
      <c r="F814" s="34">
        <f>IFERROR(_xlfn.XLOOKUP(E814,Index!$A:$A,Index!$B:$B),"")</f>
        <v>6303</v>
      </c>
      <c r="G814"/>
      <c r="H814"/>
      <c r="I814"/>
      <c r="J814"/>
      <c r="K814"/>
      <c r="L814"/>
    </row>
    <row r="815" spans="1:12" s="1" customFormat="1" x14ac:dyDescent="0.25">
      <c r="A815" s="26"/>
      <c r="B815" s="26"/>
      <c r="C815" s="35">
        <v>20</v>
      </c>
      <c r="D815" s="35">
        <v>500</v>
      </c>
      <c r="E815" s="268" t="s">
        <v>5542</v>
      </c>
      <c r="F815" s="250">
        <f>F814+803</f>
        <v>7106</v>
      </c>
      <c r="G815"/>
      <c r="H815"/>
      <c r="I815"/>
      <c r="J815"/>
      <c r="K815"/>
      <c r="L815"/>
    </row>
    <row r="816" spans="1:12" s="1" customFormat="1" x14ac:dyDescent="0.25">
      <c r="A816" s="26"/>
      <c r="B816" s="27"/>
      <c r="C816" s="35">
        <v>24</v>
      </c>
      <c r="D816" s="35">
        <v>550</v>
      </c>
      <c r="E816" s="35" t="s">
        <v>2858</v>
      </c>
      <c r="F816" s="34">
        <f>IFERROR(_xlfn.XLOOKUP(E816,Index!$A:$A,Index!$B:$B),"")</f>
        <v>8453</v>
      </c>
      <c r="G816"/>
      <c r="H816"/>
      <c r="I816"/>
      <c r="J816"/>
      <c r="K816"/>
      <c r="L816"/>
    </row>
    <row r="817" spans="1:12" s="1" customFormat="1" x14ac:dyDescent="0.25">
      <c r="A817" s="26"/>
      <c r="B817" s="60" t="s">
        <v>122</v>
      </c>
      <c r="C817" s="65">
        <v>0.5</v>
      </c>
      <c r="D817" s="35">
        <v>15</v>
      </c>
      <c r="E817" s="31" t="s">
        <v>2859</v>
      </c>
      <c r="F817" s="34">
        <f>IFERROR(_xlfn.XLOOKUP(E817,Index!$A:$A,Index!$B:$B),"")</f>
        <v>83.25</v>
      </c>
      <c r="G817"/>
      <c r="H817"/>
      <c r="I817"/>
      <c r="J817"/>
      <c r="K817"/>
      <c r="L817"/>
    </row>
    <row r="818" spans="1:12" s="1" customFormat="1" x14ac:dyDescent="0.25">
      <c r="A818" s="26"/>
      <c r="B818" s="26"/>
      <c r="C818" s="61" t="s">
        <v>217</v>
      </c>
      <c r="D818" s="35">
        <v>20</v>
      </c>
      <c r="E818" s="35" t="s">
        <v>2860</v>
      </c>
      <c r="F818" s="34">
        <f>IFERROR(_xlfn.XLOOKUP(E818,Index!$A:$A,Index!$B:$B),"")</f>
        <v>83.25</v>
      </c>
      <c r="G818"/>
      <c r="H818"/>
      <c r="I818"/>
      <c r="J818"/>
      <c r="K818"/>
      <c r="L818"/>
    </row>
    <row r="819" spans="1:12" s="1" customFormat="1" x14ac:dyDescent="0.25">
      <c r="A819" s="26"/>
      <c r="B819" s="26"/>
      <c r="C819" s="35">
        <v>1</v>
      </c>
      <c r="D819" s="35">
        <v>25</v>
      </c>
      <c r="E819" s="35" t="s">
        <v>319</v>
      </c>
      <c r="F819" s="34">
        <f>IFERROR(_xlfn.XLOOKUP(E819,Index!$A:$A,Index!$B:$B),"")</f>
        <v>442.5</v>
      </c>
      <c r="G819"/>
      <c r="H819"/>
      <c r="I819"/>
      <c r="J819"/>
      <c r="K819"/>
      <c r="L819"/>
    </row>
    <row r="820" spans="1:12" s="1" customFormat="1" x14ac:dyDescent="0.25">
      <c r="A820" s="26"/>
      <c r="B820" s="26"/>
      <c r="C820" s="35" t="s">
        <v>223</v>
      </c>
      <c r="D820" s="35">
        <v>32</v>
      </c>
      <c r="E820" s="268" t="s">
        <v>5542</v>
      </c>
      <c r="F820" s="250">
        <f>$F$801</f>
        <v>92</v>
      </c>
      <c r="G820"/>
      <c r="H820"/>
      <c r="I820"/>
      <c r="J820"/>
      <c r="K820"/>
      <c r="L820"/>
    </row>
    <row r="821" spans="1:12" s="1" customFormat="1" x14ac:dyDescent="0.25">
      <c r="A821" s="26"/>
      <c r="B821" s="26"/>
      <c r="C821" s="35" t="s">
        <v>225</v>
      </c>
      <c r="D821" s="35">
        <v>40</v>
      </c>
      <c r="E821" s="35" t="s">
        <v>320</v>
      </c>
      <c r="F821" s="34">
        <f>IFERROR(_xlfn.XLOOKUP(E821,Index!$A:$A,Index!$B:$B),"")</f>
        <v>442.5</v>
      </c>
      <c r="G821"/>
      <c r="H821"/>
      <c r="I821"/>
      <c r="J821"/>
      <c r="K821"/>
      <c r="L821"/>
    </row>
    <row r="822" spans="1:12" s="1" customFormat="1" x14ac:dyDescent="0.25">
      <c r="A822" s="26"/>
      <c r="B822" s="26"/>
      <c r="C822" s="35">
        <v>2</v>
      </c>
      <c r="D822" s="35">
        <v>50</v>
      </c>
      <c r="E822" s="35" t="s">
        <v>321</v>
      </c>
      <c r="F822" s="34">
        <f>IFERROR(_xlfn.XLOOKUP(E822,Index!$A:$A,Index!$B:$B),"")</f>
        <v>92</v>
      </c>
      <c r="G822"/>
      <c r="H822"/>
      <c r="I822"/>
      <c r="J822"/>
      <c r="K822"/>
      <c r="L822"/>
    </row>
    <row r="823" spans="1:12" s="1" customFormat="1" x14ac:dyDescent="0.25">
      <c r="A823" s="26"/>
      <c r="B823" s="26"/>
      <c r="C823" s="35" t="s">
        <v>231</v>
      </c>
      <c r="D823" s="35">
        <v>65</v>
      </c>
      <c r="E823" s="35" t="s">
        <v>322</v>
      </c>
      <c r="F823" s="34">
        <f>IFERROR(_xlfn.XLOOKUP(E823,Index!$A:$A,Index!$B:$B),"")</f>
        <v>108.5</v>
      </c>
      <c r="G823"/>
      <c r="H823"/>
      <c r="I823"/>
      <c r="J823"/>
      <c r="K823"/>
      <c r="L823"/>
    </row>
    <row r="824" spans="1:12" s="1" customFormat="1" x14ac:dyDescent="0.25">
      <c r="A824" s="26"/>
      <c r="B824" s="26"/>
      <c r="C824" s="35">
        <v>3</v>
      </c>
      <c r="D824" s="35">
        <v>80</v>
      </c>
      <c r="E824" s="35" t="s">
        <v>323</v>
      </c>
      <c r="F824" s="34">
        <f>IFERROR(_xlfn.XLOOKUP(E824,Index!$A:$A,Index!$B:$B),"")</f>
        <v>125</v>
      </c>
      <c r="G824"/>
      <c r="H824"/>
      <c r="I824"/>
      <c r="J824"/>
      <c r="K824"/>
      <c r="L824"/>
    </row>
    <row r="825" spans="1:12" s="1" customFormat="1" x14ac:dyDescent="0.25">
      <c r="A825" s="26"/>
      <c r="B825" s="26"/>
      <c r="C825" s="35">
        <v>4</v>
      </c>
      <c r="D825" s="35">
        <v>100</v>
      </c>
      <c r="E825" s="35" t="s">
        <v>324</v>
      </c>
      <c r="F825" s="34">
        <f>IFERROR(_xlfn.XLOOKUP(E825,Index!$A:$A,Index!$B:$B),"")</f>
        <v>204</v>
      </c>
      <c r="G825"/>
      <c r="H825"/>
      <c r="I825"/>
      <c r="J825"/>
      <c r="K825"/>
      <c r="L825"/>
    </row>
    <row r="826" spans="1:12" s="1" customFormat="1" x14ac:dyDescent="0.25">
      <c r="A826" s="26"/>
      <c r="B826" s="26"/>
      <c r="C826" s="35">
        <v>5</v>
      </c>
      <c r="D826" s="35">
        <v>125</v>
      </c>
      <c r="E826" s="35" t="s">
        <v>325</v>
      </c>
      <c r="F826" s="34">
        <f>IFERROR(_xlfn.XLOOKUP(E826,Index!$A:$A,Index!$B:$B),"")</f>
        <v>316</v>
      </c>
      <c r="G826"/>
      <c r="H826"/>
      <c r="I826"/>
      <c r="J826"/>
      <c r="K826"/>
      <c r="L826"/>
    </row>
    <row r="827" spans="1:12" s="1" customFormat="1" x14ac:dyDescent="0.25">
      <c r="A827" s="26"/>
      <c r="B827" s="26"/>
      <c r="C827" s="35">
        <v>6</v>
      </c>
      <c r="D827" s="35">
        <v>150</v>
      </c>
      <c r="E827" s="35" t="s">
        <v>326</v>
      </c>
      <c r="F827" s="34">
        <f>IFERROR(_xlfn.XLOOKUP(E827,Index!$A:$A,Index!$B:$B),"")</f>
        <v>394.5</v>
      </c>
      <c r="G827"/>
      <c r="H827"/>
      <c r="I827"/>
      <c r="J827"/>
      <c r="K827"/>
      <c r="L827"/>
    </row>
    <row r="828" spans="1:12" s="1" customFormat="1" x14ac:dyDescent="0.25">
      <c r="A828" s="26"/>
      <c r="B828" s="26"/>
      <c r="C828" s="35">
        <v>8</v>
      </c>
      <c r="D828" s="35">
        <v>200</v>
      </c>
      <c r="E828" s="35" t="s">
        <v>327</v>
      </c>
      <c r="F828" s="34">
        <f>IFERROR(_xlfn.XLOOKUP(E828,Index!$A:$A,Index!$B:$B),"")</f>
        <v>1246</v>
      </c>
      <c r="G828"/>
      <c r="H828"/>
      <c r="I828"/>
      <c r="J828"/>
      <c r="K828"/>
      <c r="L828"/>
    </row>
    <row r="829" spans="1:12" s="1" customFormat="1" x14ac:dyDescent="0.25">
      <c r="A829" s="26"/>
      <c r="B829" s="26"/>
      <c r="C829" s="35">
        <v>10</v>
      </c>
      <c r="D829" s="35">
        <v>250</v>
      </c>
      <c r="E829" s="35" t="s">
        <v>328</v>
      </c>
      <c r="F829" s="34">
        <f>IFERROR(_xlfn.XLOOKUP(E829,Index!$A:$A,Index!$B:$B),"")</f>
        <v>2084</v>
      </c>
      <c r="G829"/>
      <c r="H829"/>
      <c r="I829"/>
      <c r="J829"/>
      <c r="K829"/>
      <c r="L829"/>
    </row>
    <row r="830" spans="1:12" s="1" customFormat="1" x14ac:dyDescent="0.25">
      <c r="A830" s="26"/>
      <c r="B830" s="26"/>
      <c r="C830" s="35">
        <v>12</v>
      </c>
      <c r="D830" s="35">
        <v>300</v>
      </c>
      <c r="E830" s="35" t="s">
        <v>329</v>
      </c>
      <c r="F830" s="34">
        <f>IFERROR(_xlfn.XLOOKUP(E830,Index!$A:$A,Index!$B:$B),"")</f>
        <v>1943</v>
      </c>
      <c r="G830"/>
      <c r="H830"/>
      <c r="I830"/>
      <c r="J830"/>
      <c r="K830"/>
      <c r="L830"/>
    </row>
    <row r="831" spans="1:12" s="1" customFormat="1" x14ac:dyDescent="0.25">
      <c r="A831" s="26"/>
      <c r="B831" s="26"/>
      <c r="C831" s="35">
        <v>14</v>
      </c>
      <c r="D831" s="35">
        <v>350</v>
      </c>
      <c r="E831" s="35" t="s">
        <v>330</v>
      </c>
      <c r="F831" s="34">
        <f>IFERROR(_xlfn.XLOOKUP(E831,Index!$A:$A,Index!$B:$B),"")</f>
        <v>3150</v>
      </c>
      <c r="G831"/>
      <c r="H831"/>
      <c r="I831"/>
      <c r="J831"/>
      <c r="K831"/>
      <c r="L831"/>
    </row>
    <row r="832" spans="1:12" s="1" customFormat="1" x14ac:dyDescent="0.25">
      <c r="A832" s="26"/>
      <c r="B832" s="26"/>
      <c r="C832" s="35">
        <v>16</v>
      </c>
      <c r="D832" s="35">
        <v>400</v>
      </c>
      <c r="E832" s="35" t="s">
        <v>2852</v>
      </c>
      <c r="F832" s="34">
        <f>IFERROR(_xlfn.XLOOKUP(E832,Index!$A:$A,Index!$B:$B),"")</f>
        <v>4435</v>
      </c>
      <c r="G832"/>
      <c r="H832"/>
      <c r="I832"/>
      <c r="J832"/>
      <c r="K832"/>
      <c r="L832"/>
    </row>
    <row r="833" spans="1:12" s="1" customFormat="1" x14ac:dyDescent="0.25">
      <c r="A833" s="26"/>
      <c r="B833" s="26"/>
      <c r="C833" s="35">
        <v>18</v>
      </c>
      <c r="D833" s="35">
        <v>450</v>
      </c>
      <c r="E833" s="35" t="s">
        <v>331</v>
      </c>
      <c r="F833" s="34">
        <f>IFERROR(_xlfn.XLOOKUP(E833,Index!$A:$A,Index!$B:$B),"")</f>
        <v>33075</v>
      </c>
      <c r="G833"/>
      <c r="H833"/>
      <c r="I833"/>
      <c r="J833"/>
      <c r="K833"/>
      <c r="L833"/>
    </row>
    <row r="834" spans="1:12" s="1" customFormat="1" x14ac:dyDescent="0.25">
      <c r="A834" s="26"/>
      <c r="B834" s="26"/>
      <c r="C834" s="35">
        <v>20</v>
      </c>
      <c r="D834" s="35">
        <v>500</v>
      </c>
      <c r="E834" s="268" t="s">
        <v>5542</v>
      </c>
      <c r="F834" s="250">
        <f t="shared" ref="F834:F835" si="7">F815</f>
        <v>7106</v>
      </c>
      <c r="G834"/>
      <c r="H834"/>
      <c r="I834"/>
      <c r="J834"/>
      <c r="K834"/>
      <c r="L834"/>
    </row>
    <row r="835" spans="1:12" s="1" customFormat="1" x14ac:dyDescent="0.25">
      <c r="A835" s="26"/>
      <c r="B835" s="27"/>
      <c r="C835" s="35">
        <v>24</v>
      </c>
      <c r="D835" s="35">
        <v>550</v>
      </c>
      <c r="E835" s="268" t="s">
        <v>5542</v>
      </c>
      <c r="F835" s="250">
        <f t="shared" si="7"/>
        <v>8453</v>
      </c>
      <c r="G835"/>
      <c r="H835"/>
      <c r="I835"/>
      <c r="J835"/>
      <c r="K835"/>
      <c r="L835"/>
    </row>
    <row r="836" spans="1:12" s="1" customFormat="1" x14ac:dyDescent="0.25">
      <c r="A836" s="26"/>
      <c r="B836" s="60" t="s">
        <v>134</v>
      </c>
      <c r="C836" s="65">
        <v>0.5</v>
      </c>
      <c r="D836" s="35">
        <v>15</v>
      </c>
      <c r="E836" s="35" t="s">
        <v>2861</v>
      </c>
      <c r="F836" s="34">
        <f>IFERROR(_xlfn.XLOOKUP(E836,Index!$A:$A,Index!$B:$B),"")</f>
        <v>83.25</v>
      </c>
      <c r="G836"/>
      <c r="H836"/>
      <c r="I836"/>
      <c r="J836"/>
      <c r="K836"/>
      <c r="L836"/>
    </row>
    <row r="837" spans="1:12" s="1" customFormat="1" x14ac:dyDescent="0.25">
      <c r="A837" s="26"/>
      <c r="B837" s="26"/>
      <c r="C837" s="61" t="s">
        <v>217</v>
      </c>
      <c r="D837" s="35">
        <v>20</v>
      </c>
      <c r="E837" s="35" t="s">
        <v>2855</v>
      </c>
      <c r="F837" s="34">
        <f>IFERROR(_xlfn.XLOOKUP(E837,Index!$A:$A,Index!$B:$B),"")</f>
        <v>83.25</v>
      </c>
      <c r="G837"/>
      <c r="H837"/>
      <c r="I837"/>
      <c r="J837"/>
      <c r="K837"/>
      <c r="L837"/>
    </row>
    <row r="838" spans="1:12" s="1" customFormat="1" x14ac:dyDescent="0.25">
      <c r="A838" s="26"/>
      <c r="B838" s="26"/>
      <c r="C838" s="35">
        <v>1</v>
      </c>
      <c r="D838" s="35">
        <v>25</v>
      </c>
      <c r="E838" s="35" t="s">
        <v>2855</v>
      </c>
      <c r="F838" s="34">
        <f>IFERROR(_xlfn.XLOOKUP(E838,Index!$A:$A,Index!$B:$B),"")</f>
        <v>83.25</v>
      </c>
      <c r="G838"/>
      <c r="H838"/>
      <c r="I838"/>
      <c r="J838"/>
      <c r="K838"/>
      <c r="L838"/>
    </row>
    <row r="839" spans="1:12" s="1" customFormat="1" x14ac:dyDescent="0.25">
      <c r="A839" s="26"/>
      <c r="B839" s="26"/>
      <c r="C839" s="35" t="s">
        <v>223</v>
      </c>
      <c r="D839" s="35">
        <v>32</v>
      </c>
      <c r="E839" s="268" t="s">
        <v>5542</v>
      </c>
      <c r="F839" s="250">
        <f>$F$801</f>
        <v>92</v>
      </c>
      <c r="G839"/>
      <c r="H839"/>
      <c r="I839"/>
      <c r="J839"/>
      <c r="K839"/>
      <c r="L839"/>
    </row>
    <row r="840" spans="1:12" s="1" customFormat="1" x14ac:dyDescent="0.25">
      <c r="A840" s="26"/>
      <c r="B840" s="26"/>
      <c r="C840" s="35" t="s">
        <v>225</v>
      </c>
      <c r="D840" s="35">
        <v>40</v>
      </c>
      <c r="E840" s="35" t="s">
        <v>2862</v>
      </c>
      <c r="F840" s="34">
        <f>IFERROR(_xlfn.XLOOKUP(E840,Index!$A:$A,Index!$B:$B),"")</f>
        <v>92</v>
      </c>
      <c r="G840"/>
      <c r="H840"/>
      <c r="I840"/>
      <c r="J840"/>
      <c r="K840"/>
      <c r="L840"/>
    </row>
    <row r="841" spans="1:12" s="1" customFormat="1" x14ac:dyDescent="0.25">
      <c r="A841" s="26"/>
      <c r="B841" s="26"/>
      <c r="C841" s="35">
        <v>2</v>
      </c>
      <c r="D841" s="35">
        <v>50</v>
      </c>
      <c r="E841" s="35" t="s">
        <v>332</v>
      </c>
      <c r="F841" s="34">
        <f>IFERROR(_xlfn.XLOOKUP(E841,Index!$A:$A,Index!$B:$B),"")</f>
        <v>92</v>
      </c>
      <c r="G841"/>
      <c r="H841"/>
      <c r="I841"/>
      <c r="J841"/>
      <c r="K841"/>
      <c r="L841"/>
    </row>
    <row r="842" spans="1:12" s="1" customFormat="1" x14ac:dyDescent="0.25">
      <c r="A842" s="26"/>
      <c r="B842" s="26"/>
      <c r="C842" s="35" t="s">
        <v>231</v>
      </c>
      <c r="D842" s="35">
        <v>65</v>
      </c>
      <c r="E842" s="35" t="s">
        <v>333</v>
      </c>
      <c r="F842" s="34">
        <f>IFERROR(_xlfn.XLOOKUP(E842,Index!$A:$A,Index!$B:$B),"")</f>
        <v>108.5</v>
      </c>
      <c r="G842"/>
      <c r="H842"/>
      <c r="I842"/>
      <c r="J842"/>
      <c r="K842"/>
      <c r="L842"/>
    </row>
    <row r="843" spans="1:12" s="1" customFormat="1" x14ac:dyDescent="0.25">
      <c r="A843" s="26"/>
      <c r="B843" s="26"/>
      <c r="C843" s="35">
        <v>3</v>
      </c>
      <c r="D843" s="35">
        <v>80</v>
      </c>
      <c r="E843" s="35" t="s">
        <v>334</v>
      </c>
      <c r="F843" s="34">
        <f>IFERROR(_xlfn.XLOOKUP(E843,Index!$A:$A,Index!$B:$B),"")</f>
        <v>125</v>
      </c>
      <c r="G843"/>
      <c r="H843"/>
      <c r="I843"/>
      <c r="J843"/>
      <c r="K843"/>
      <c r="L843"/>
    </row>
    <row r="844" spans="1:12" s="1" customFormat="1" x14ac:dyDescent="0.25">
      <c r="A844" s="26"/>
      <c r="B844" s="26"/>
      <c r="C844" s="35">
        <v>4</v>
      </c>
      <c r="D844" s="35">
        <v>100</v>
      </c>
      <c r="E844" s="35" t="s">
        <v>335</v>
      </c>
      <c r="F844" s="34">
        <f>IFERROR(_xlfn.XLOOKUP(E844,Index!$A:$A,Index!$B:$B),"")</f>
        <v>204</v>
      </c>
      <c r="G844"/>
      <c r="H844"/>
      <c r="I844"/>
      <c r="J844"/>
      <c r="K844"/>
      <c r="L844"/>
    </row>
    <row r="845" spans="1:12" s="1" customFormat="1" x14ac:dyDescent="0.25">
      <c r="A845" s="26"/>
      <c r="B845" s="26"/>
      <c r="C845" s="35">
        <v>5</v>
      </c>
      <c r="D845" s="35">
        <v>125</v>
      </c>
      <c r="E845" s="35" t="s">
        <v>336</v>
      </c>
      <c r="F845" s="34">
        <f>IFERROR(_xlfn.XLOOKUP(E845,Index!$A:$A,Index!$B:$B),"")</f>
        <v>316</v>
      </c>
      <c r="G845"/>
      <c r="H845"/>
      <c r="I845"/>
      <c r="J845"/>
      <c r="K845"/>
      <c r="L845"/>
    </row>
    <row r="846" spans="1:12" s="1" customFormat="1" x14ac:dyDescent="0.25">
      <c r="A846" s="26"/>
      <c r="B846" s="26"/>
      <c r="C846" s="35">
        <v>6</v>
      </c>
      <c r="D846" s="35">
        <v>150</v>
      </c>
      <c r="E846" s="35" t="s">
        <v>337</v>
      </c>
      <c r="F846" s="34">
        <f>IFERROR(_xlfn.XLOOKUP(E846,Index!$A:$A,Index!$B:$B),"")</f>
        <v>394.5</v>
      </c>
      <c r="G846"/>
      <c r="H846"/>
      <c r="I846"/>
      <c r="J846"/>
      <c r="K846"/>
      <c r="L846"/>
    </row>
    <row r="847" spans="1:12" s="1" customFormat="1" x14ac:dyDescent="0.25">
      <c r="A847" s="26"/>
      <c r="B847" s="26"/>
      <c r="C847" s="35">
        <v>8</v>
      </c>
      <c r="D847" s="35">
        <v>200</v>
      </c>
      <c r="E847" s="35" t="s">
        <v>338</v>
      </c>
      <c r="F847" s="34">
        <f>IFERROR(_xlfn.XLOOKUP(E847,Index!$A:$A,Index!$B:$B),"")</f>
        <v>1246</v>
      </c>
      <c r="G847"/>
      <c r="H847"/>
      <c r="I847"/>
      <c r="J847"/>
      <c r="K847"/>
      <c r="L847"/>
    </row>
    <row r="848" spans="1:12" s="1" customFormat="1" x14ac:dyDescent="0.25">
      <c r="A848" s="26"/>
      <c r="B848" s="26"/>
      <c r="C848" s="35">
        <v>10</v>
      </c>
      <c r="D848" s="35">
        <v>250</v>
      </c>
      <c r="E848" s="35" t="s">
        <v>339</v>
      </c>
      <c r="F848" s="34">
        <f>IFERROR(_xlfn.XLOOKUP(E848,Index!$A:$A,Index!$B:$B),"")</f>
        <v>2084</v>
      </c>
      <c r="G848"/>
      <c r="H848"/>
      <c r="I848"/>
      <c r="J848"/>
      <c r="K848"/>
      <c r="L848"/>
    </row>
    <row r="849" spans="1:12" s="1" customFormat="1" x14ac:dyDescent="0.25">
      <c r="A849" s="26"/>
      <c r="B849" s="26"/>
      <c r="C849" s="35">
        <v>12</v>
      </c>
      <c r="D849" s="35">
        <v>300</v>
      </c>
      <c r="E849" s="35" t="s">
        <v>340</v>
      </c>
      <c r="F849" s="34">
        <f>IFERROR(_xlfn.XLOOKUP(E849,Index!$A:$A,Index!$B:$B),"")</f>
        <v>1943</v>
      </c>
      <c r="G849"/>
      <c r="H849"/>
      <c r="I849"/>
      <c r="J849"/>
      <c r="K849"/>
      <c r="L849"/>
    </row>
    <row r="850" spans="1:12" s="1" customFormat="1" x14ac:dyDescent="0.25">
      <c r="A850" s="26"/>
      <c r="B850" s="26"/>
      <c r="C850" s="35">
        <v>14</v>
      </c>
      <c r="D850" s="35">
        <v>350</v>
      </c>
      <c r="E850" s="35" t="s">
        <v>341</v>
      </c>
      <c r="F850" s="34">
        <f>IFERROR(_xlfn.XLOOKUP(E850,Index!$A:$A,Index!$B:$B),"")</f>
        <v>3150</v>
      </c>
      <c r="G850"/>
      <c r="H850"/>
      <c r="I850"/>
      <c r="J850"/>
      <c r="K850"/>
      <c r="L850"/>
    </row>
    <row r="851" spans="1:12" s="1" customFormat="1" x14ac:dyDescent="0.25">
      <c r="A851" s="26"/>
      <c r="B851" s="26"/>
      <c r="C851" s="35">
        <v>16</v>
      </c>
      <c r="D851" s="35">
        <v>400</v>
      </c>
      <c r="E851" s="35" t="s">
        <v>342</v>
      </c>
      <c r="F851" s="34">
        <f>IFERROR(_xlfn.XLOOKUP(E851,Index!$A:$A,Index!$B:$B),"")</f>
        <v>4435</v>
      </c>
      <c r="G851"/>
      <c r="H851"/>
      <c r="I851"/>
      <c r="J851"/>
      <c r="K851"/>
      <c r="L851"/>
    </row>
    <row r="852" spans="1:12" s="1" customFormat="1" x14ac:dyDescent="0.25">
      <c r="A852" s="26"/>
      <c r="B852" s="26"/>
      <c r="C852" s="35">
        <v>18</v>
      </c>
      <c r="D852" s="35">
        <v>450</v>
      </c>
      <c r="E852" s="35" t="s">
        <v>343</v>
      </c>
      <c r="F852" s="34">
        <f>IFERROR(_xlfn.XLOOKUP(E852,Index!$A:$A,Index!$B:$B),"")</f>
        <v>6303</v>
      </c>
      <c r="G852"/>
      <c r="H852"/>
      <c r="I852"/>
      <c r="J852"/>
      <c r="K852"/>
      <c r="L852"/>
    </row>
    <row r="853" spans="1:12" s="1" customFormat="1" x14ac:dyDescent="0.25">
      <c r="A853" s="26"/>
      <c r="B853" s="26"/>
      <c r="C853" s="35">
        <v>20</v>
      </c>
      <c r="D853" s="35">
        <v>500</v>
      </c>
      <c r="E853" s="268" t="s">
        <v>5542</v>
      </c>
      <c r="F853" s="250">
        <f t="shared" ref="F853:F856" si="8">F834</f>
        <v>7106</v>
      </c>
      <c r="G853"/>
      <c r="H853"/>
      <c r="I853"/>
      <c r="J853"/>
      <c r="K853"/>
      <c r="L853"/>
    </row>
    <row r="854" spans="1:12" s="1" customFormat="1" x14ac:dyDescent="0.25">
      <c r="A854" s="26"/>
      <c r="B854" s="27"/>
      <c r="C854" s="35">
        <v>24</v>
      </c>
      <c r="D854" s="35">
        <v>550</v>
      </c>
      <c r="E854" s="268" t="s">
        <v>5542</v>
      </c>
      <c r="F854" s="250">
        <f t="shared" si="8"/>
        <v>8453</v>
      </c>
      <c r="G854"/>
      <c r="H854"/>
      <c r="I854"/>
      <c r="J854"/>
      <c r="K854"/>
      <c r="L854"/>
    </row>
    <row r="855" spans="1:12" s="1" customFormat="1" x14ac:dyDescent="0.25">
      <c r="A855" s="26"/>
      <c r="B855" s="60" t="s">
        <v>145</v>
      </c>
      <c r="C855" s="65">
        <v>0.5</v>
      </c>
      <c r="D855" s="35">
        <v>15</v>
      </c>
      <c r="E855" s="268" t="s">
        <v>5542</v>
      </c>
      <c r="F855" s="250">
        <f t="shared" si="8"/>
        <v>83.25</v>
      </c>
      <c r="G855"/>
      <c r="H855"/>
      <c r="I855"/>
      <c r="J855"/>
      <c r="K855"/>
      <c r="L855"/>
    </row>
    <row r="856" spans="1:12" s="1" customFormat="1" x14ac:dyDescent="0.25">
      <c r="A856" s="26"/>
      <c r="B856" s="26"/>
      <c r="C856" s="61" t="s">
        <v>217</v>
      </c>
      <c r="D856" s="35">
        <v>20</v>
      </c>
      <c r="E856" s="268" t="s">
        <v>5542</v>
      </c>
      <c r="F856" s="250">
        <f t="shared" si="8"/>
        <v>83.25</v>
      </c>
      <c r="G856"/>
      <c r="H856"/>
      <c r="I856"/>
      <c r="J856"/>
      <c r="K856"/>
      <c r="L856"/>
    </row>
    <row r="857" spans="1:12" s="1" customFormat="1" x14ac:dyDescent="0.25">
      <c r="A857" s="26"/>
      <c r="B857" s="26"/>
      <c r="C857" s="35">
        <v>1</v>
      </c>
      <c r="D857" s="35">
        <v>25</v>
      </c>
      <c r="E857" s="35" t="s">
        <v>2856</v>
      </c>
      <c r="F857" s="34">
        <f>IFERROR(_xlfn.XLOOKUP(E857,Index!$A:$A,Index!$B:$B),"")</f>
        <v>83.25</v>
      </c>
      <c r="G857"/>
      <c r="H857"/>
      <c r="I857"/>
      <c r="J857"/>
      <c r="K857"/>
      <c r="L857"/>
    </row>
    <row r="858" spans="1:12" s="1" customFormat="1" x14ac:dyDescent="0.25">
      <c r="A858" s="26"/>
      <c r="B858" s="26"/>
      <c r="C858" s="35" t="s">
        <v>223</v>
      </c>
      <c r="D858" s="35">
        <v>32</v>
      </c>
      <c r="E858" s="268" t="s">
        <v>5542</v>
      </c>
      <c r="F858" s="250">
        <f>$F$801</f>
        <v>92</v>
      </c>
      <c r="G858"/>
      <c r="H858"/>
      <c r="I858"/>
      <c r="J858"/>
      <c r="K858"/>
      <c r="L858"/>
    </row>
    <row r="859" spans="1:12" s="1" customFormat="1" x14ac:dyDescent="0.25">
      <c r="A859" s="26"/>
      <c r="B859" s="26"/>
      <c r="C859" s="35" t="s">
        <v>225</v>
      </c>
      <c r="D859" s="35">
        <v>40</v>
      </c>
      <c r="E859" s="35" t="s">
        <v>344</v>
      </c>
      <c r="F859" s="34">
        <f>IFERROR(_xlfn.XLOOKUP(E859,Index!$A:$A,Index!$B:$B),"")</f>
        <v>92</v>
      </c>
      <c r="G859"/>
      <c r="H859"/>
      <c r="I859"/>
      <c r="J859"/>
      <c r="K859"/>
      <c r="L859"/>
    </row>
    <row r="860" spans="1:12" s="1" customFormat="1" x14ac:dyDescent="0.25">
      <c r="A860" s="26"/>
      <c r="B860" s="26"/>
      <c r="C860" s="35">
        <v>2</v>
      </c>
      <c r="D860" s="35">
        <v>50</v>
      </c>
      <c r="E860" s="35" t="s">
        <v>345</v>
      </c>
      <c r="F860" s="34">
        <f>IFERROR(_xlfn.XLOOKUP(E860,Index!$A:$A,Index!$B:$B),"")</f>
        <v>92</v>
      </c>
      <c r="G860"/>
      <c r="H860"/>
      <c r="I860"/>
      <c r="J860"/>
      <c r="K860"/>
      <c r="L860"/>
    </row>
    <row r="861" spans="1:12" s="1" customFormat="1" x14ac:dyDescent="0.25">
      <c r="A861" s="26"/>
      <c r="B861" s="26"/>
      <c r="C861" s="35" t="s">
        <v>231</v>
      </c>
      <c r="D861" s="35">
        <v>65</v>
      </c>
      <c r="E861" s="35" t="s">
        <v>346</v>
      </c>
      <c r="F861" s="34">
        <f>IFERROR(_xlfn.XLOOKUP(E861,Index!$A:$A,Index!$B:$B),"")</f>
        <v>108.5</v>
      </c>
      <c r="G861"/>
      <c r="H861"/>
      <c r="I861"/>
      <c r="J861"/>
      <c r="K861"/>
      <c r="L861"/>
    </row>
    <row r="862" spans="1:12" s="1" customFormat="1" x14ac:dyDescent="0.25">
      <c r="A862" s="26"/>
      <c r="B862" s="26"/>
      <c r="C862" s="35">
        <v>3</v>
      </c>
      <c r="D862" s="35">
        <v>80</v>
      </c>
      <c r="E862" s="35" t="s">
        <v>347</v>
      </c>
      <c r="F862" s="34">
        <f>IFERROR(_xlfn.XLOOKUP(E862,Index!$A:$A,Index!$B:$B),"")</f>
        <v>125</v>
      </c>
      <c r="G862"/>
      <c r="H862"/>
      <c r="I862"/>
      <c r="J862"/>
      <c r="K862"/>
      <c r="L862"/>
    </row>
    <row r="863" spans="1:12" s="1" customFormat="1" x14ac:dyDescent="0.25">
      <c r="A863" s="26"/>
      <c r="B863" s="26"/>
      <c r="C863" s="35">
        <v>4</v>
      </c>
      <c r="D863" s="35">
        <v>100</v>
      </c>
      <c r="E863" s="35" t="s">
        <v>348</v>
      </c>
      <c r="F863" s="34">
        <f>IFERROR(_xlfn.XLOOKUP(E863,Index!$A:$A,Index!$B:$B),"")</f>
        <v>204</v>
      </c>
      <c r="G863"/>
      <c r="H863"/>
      <c r="I863"/>
      <c r="J863"/>
      <c r="K863"/>
      <c r="L863"/>
    </row>
    <row r="864" spans="1:12" s="1" customFormat="1" x14ac:dyDescent="0.25">
      <c r="A864" s="26"/>
      <c r="B864" s="26"/>
      <c r="C864" s="35">
        <v>5</v>
      </c>
      <c r="D864" s="35">
        <v>125</v>
      </c>
      <c r="E864" s="35" t="s">
        <v>349</v>
      </c>
      <c r="F864" s="34">
        <f>IFERROR(_xlfn.XLOOKUP(E864,Index!$A:$A,Index!$B:$B),"")</f>
        <v>316</v>
      </c>
      <c r="G864"/>
      <c r="H864"/>
      <c r="I864"/>
      <c r="J864"/>
      <c r="K864"/>
      <c r="L864"/>
    </row>
    <row r="865" spans="1:12" s="1" customFormat="1" x14ac:dyDescent="0.25">
      <c r="A865" s="26"/>
      <c r="B865" s="26"/>
      <c r="C865" s="35">
        <v>6</v>
      </c>
      <c r="D865" s="35">
        <v>150</v>
      </c>
      <c r="E865" s="35" t="s">
        <v>350</v>
      </c>
      <c r="F865" s="34">
        <f>IFERROR(_xlfn.XLOOKUP(E865,Index!$A:$A,Index!$B:$B),"")</f>
        <v>394.5</v>
      </c>
      <c r="G865"/>
      <c r="H865"/>
      <c r="I865"/>
      <c r="J865"/>
      <c r="K865"/>
      <c r="L865"/>
    </row>
    <row r="866" spans="1:12" s="1" customFormat="1" x14ac:dyDescent="0.25">
      <c r="A866" s="26"/>
      <c r="B866" s="26"/>
      <c r="C866" s="35">
        <v>8</v>
      </c>
      <c r="D866" s="35">
        <v>200</v>
      </c>
      <c r="E866" s="35" t="s">
        <v>351</v>
      </c>
      <c r="F866" s="34">
        <f>IFERROR(_xlfn.XLOOKUP(E866,Index!$A:$A,Index!$B:$B),"")</f>
        <v>1246</v>
      </c>
      <c r="G866"/>
      <c r="H866"/>
      <c r="I866"/>
      <c r="J866"/>
      <c r="K866"/>
      <c r="L866"/>
    </row>
    <row r="867" spans="1:12" s="1" customFormat="1" x14ac:dyDescent="0.25">
      <c r="A867" s="26"/>
      <c r="B867" s="26"/>
      <c r="C867" s="35">
        <v>10</v>
      </c>
      <c r="D867" s="35">
        <v>250</v>
      </c>
      <c r="E867" s="35" t="s">
        <v>352</v>
      </c>
      <c r="F867" s="34">
        <f>IFERROR(_xlfn.XLOOKUP(E867,Index!$A:$A,Index!$B:$B),"")</f>
        <v>2084</v>
      </c>
      <c r="G867"/>
      <c r="H867"/>
      <c r="I867"/>
      <c r="J867"/>
      <c r="K867"/>
      <c r="L867"/>
    </row>
    <row r="868" spans="1:12" s="1" customFormat="1" x14ac:dyDescent="0.25">
      <c r="A868" s="26"/>
      <c r="B868" s="26"/>
      <c r="C868" s="35">
        <v>12</v>
      </c>
      <c r="D868" s="35">
        <v>300</v>
      </c>
      <c r="E868" s="35" t="s">
        <v>353</v>
      </c>
      <c r="F868" s="34">
        <f>IFERROR(_xlfn.XLOOKUP(E868,Index!$A:$A,Index!$B:$B),"")</f>
        <v>1943</v>
      </c>
      <c r="G868"/>
      <c r="H868"/>
      <c r="I868"/>
      <c r="J868"/>
      <c r="K868"/>
      <c r="L868"/>
    </row>
    <row r="869" spans="1:12" s="1" customFormat="1" x14ac:dyDescent="0.25">
      <c r="A869" s="26"/>
      <c r="B869" s="26"/>
      <c r="C869" s="35">
        <v>14</v>
      </c>
      <c r="D869" s="35">
        <v>350</v>
      </c>
      <c r="E869" s="268" t="s">
        <v>5542</v>
      </c>
      <c r="F869" s="250">
        <f t="shared" ref="F869:F873" si="9">F850</f>
        <v>3150</v>
      </c>
      <c r="G869"/>
      <c r="H869"/>
      <c r="I869"/>
      <c r="J869"/>
      <c r="K869"/>
      <c r="L869"/>
    </row>
    <row r="870" spans="1:12" s="1" customFormat="1" x14ac:dyDescent="0.25">
      <c r="A870" s="26"/>
      <c r="B870" s="26"/>
      <c r="C870" s="35">
        <v>16</v>
      </c>
      <c r="D870" s="35">
        <v>400</v>
      </c>
      <c r="E870" s="268" t="s">
        <v>5542</v>
      </c>
      <c r="F870" s="250">
        <f t="shared" si="9"/>
        <v>4435</v>
      </c>
      <c r="G870"/>
      <c r="H870"/>
      <c r="I870"/>
      <c r="J870"/>
      <c r="K870"/>
      <c r="L870"/>
    </row>
    <row r="871" spans="1:12" s="1" customFormat="1" x14ac:dyDescent="0.25">
      <c r="A871" s="26"/>
      <c r="B871" s="26"/>
      <c r="C871" s="35">
        <v>18</v>
      </c>
      <c r="D871" s="35">
        <v>450</v>
      </c>
      <c r="E871" s="268" t="s">
        <v>5542</v>
      </c>
      <c r="F871" s="250">
        <f t="shared" si="9"/>
        <v>6303</v>
      </c>
      <c r="G871"/>
      <c r="H871"/>
      <c r="I871"/>
      <c r="J871"/>
      <c r="K871"/>
      <c r="L871"/>
    </row>
    <row r="872" spans="1:12" s="1" customFormat="1" x14ac:dyDescent="0.25">
      <c r="A872" s="26"/>
      <c r="B872" s="26"/>
      <c r="C872" s="35">
        <v>20</v>
      </c>
      <c r="D872" s="35">
        <v>500</v>
      </c>
      <c r="E872" s="268" t="s">
        <v>5542</v>
      </c>
      <c r="F872" s="250">
        <f t="shared" si="9"/>
        <v>7106</v>
      </c>
      <c r="G872"/>
      <c r="H872"/>
      <c r="I872"/>
      <c r="J872"/>
      <c r="K872"/>
      <c r="L872"/>
    </row>
    <row r="873" spans="1:12" s="1" customFormat="1" x14ac:dyDescent="0.25">
      <c r="A873" s="26"/>
      <c r="B873" s="27"/>
      <c r="C873" s="35">
        <v>24</v>
      </c>
      <c r="D873" s="35">
        <v>550</v>
      </c>
      <c r="E873" s="268" t="s">
        <v>5542</v>
      </c>
      <c r="F873" s="250">
        <f t="shared" si="9"/>
        <v>8453</v>
      </c>
      <c r="G873"/>
      <c r="H873"/>
      <c r="I873"/>
      <c r="J873"/>
      <c r="K873"/>
      <c r="L873"/>
    </row>
    <row r="874" spans="1:12" s="1" customFormat="1" x14ac:dyDescent="0.25">
      <c r="A874" s="26"/>
      <c r="B874" s="60" t="s">
        <v>155</v>
      </c>
      <c r="C874" s="65">
        <v>0.5</v>
      </c>
      <c r="D874" s="35">
        <v>15</v>
      </c>
      <c r="E874" s="35" t="s">
        <v>2863</v>
      </c>
      <c r="F874" s="34">
        <f>IFERROR(_xlfn.XLOOKUP(E874,Index!$A:$A,Index!$B:$B),"")</f>
        <v>83.25</v>
      </c>
      <c r="G874"/>
      <c r="H874"/>
      <c r="I874"/>
      <c r="J874"/>
      <c r="K874"/>
      <c r="L874"/>
    </row>
    <row r="875" spans="1:12" s="1" customFormat="1" x14ac:dyDescent="0.25">
      <c r="A875" s="26"/>
      <c r="B875" s="26"/>
      <c r="C875" s="61" t="s">
        <v>217</v>
      </c>
      <c r="D875" s="35">
        <v>20</v>
      </c>
      <c r="E875" s="35" t="s">
        <v>2864</v>
      </c>
      <c r="F875" s="34">
        <f>IFERROR(_xlfn.XLOOKUP(E875,Index!$A:$A,Index!$B:$B),"")</f>
        <v>83.25</v>
      </c>
      <c r="G875"/>
      <c r="H875"/>
      <c r="I875"/>
      <c r="J875"/>
      <c r="K875"/>
      <c r="L875"/>
    </row>
    <row r="876" spans="1:12" s="1" customFormat="1" x14ac:dyDescent="0.25">
      <c r="A876" s="26"/>
      <c r="B876" s="26"/>
      <c r="C876" s="35">
        <v>1</v>
      </c>
      <c r="D876" s="35">
        <v>25</v>
      </c>
      <c r="E876" s="35" t="s">
        <v>354</v>
      </c>
      <c r="F876" s="34">
        <f>IFERROR(_xlfn.XLOOKUP(E876,Index!$A:$A,Index!$B:$B),"")</f>
        <v>83.25</v>
      </c>
      <c r="G876"/>
      <c r="H876"/>
      <c r="I876"/>
      <c r="J876"/>
      <c r="K876"/>
      <c r="L876"/>
    </row>
    <row r="877" spans="1:12" s="1" customFormat="1" x14ac:dyDescent="0.25">
      <c r="A877" s="26"/>
      <c r="B877" s="26"/>
      <c r="C877" s="35" t="s">
        <v>223</v>
      </c>
      <c r="D877" s="35">
        <v>32</v>
      </c>
      <c r="E877" s="268" t="s">
        <v>5542</v>
      </c>
      <c r="F877" s="250">
        <f>$F$801</f>
        <v>92</v>
      </c>
      <c r="G877"/>
      <c r="H877"/>
      <c r="I877"/>
      <c r="J877"/>
      <c r="K877"/>
      <c r="L877"/>
    </row>
    <row r="878" spans="1:12" s="1" customFormat="1" x14ac:dyDescent="0.25">
      <c r="A878" s="26"/>
      <c r="B878" s="26"/>
      <c r="C878" s="35" t="s">
        <v>225</v>
      </c>
      <c r="D878" s="35">
        <v>40</v>
      </c>
      <c r="E878" s="35" t="s">
        <v>2865</v>
      </c>
      <c r="F878" s="34">
        <f>IFERROR(_xlfn.XLOOKUP(E878,Index!$A:$A,Index!$B:$B),"")</f>
        <v>92</v>
      </c>
      <c r="G878"/>
      <c r="H878"/>
      <c r="I878"/>
      <c r="J878"/>
      <c r="K878"/>
      <c r="L878"/>
    </row>
    <row r="879" spans="1:12" s="1" customFormat="1" x14ac:dyDescent="0.25">
      <c r="A879" s="26"/>
      <c r="B879" s="26"/>
      <c r="C879" s="35">
        <v>2</v>
      </c>
      <c r="D879" s="35">
        <v>50</v>
      </c>
      <c r="E879" s="35" t="s">
        <v>355</v>
      </c>
      <c r="F879" s="34">
        <f>IFERROR(_xlfn.XLOOKUP(E879,Index!$A:$A,Index!$B:$B),"")</f>
        <v>92</v>
      </c>
      <c r="G879"/>
      <c r="H879"/>
      <c r="I879"/>
      <c r="J879"/>
      <c r="K879"/>
      <c r="L879"/>
    </row>
    <row r="880" spans="1:12" s="1" customFormat="1" x14ac:dyDescent="0.25">
      <c r="A880" s="26"/>
      <c r="B880" s="26"/>
      <c r="C880" s="35" t="s">
        <v>231</v>
      </c>
      <c r="D880" s="35">
        <v>65</v>
      </c>
      <c r="E880" s="35" t="s">
        <v>356</v>
      </c>
      <c r="F880" s="34">
        <f>IFERROR(_xlfn.XLOOKUP(E880,Index!$A:$A,Index!$B:$B),"")</f>
        <v>108.5</v>
      </c>
      <c r="G880"/>
      <c r="H880"/>
      <c r="I880"/>
      <c r="J880"/>
      <c r="K880"/>
      <c r="L880"/>
    </row>
    <row r="881" spans="1:12" s="1" customFormat="1" x14ac:dyDescent="0.25">
      <c r="A881" s="26"/>
      <c r="B881" s="26"/>
      <c r="C881" s="35">
        <v>3</v>
      </c>
      <c r="D881" s="35">
        <v>80</v>
      </c>
      <c r="E881" s="35" t="s">
        <v>357</v>
      </c>
      <c r="F881" s="34">
        <f>IFERROR(_xlfn.XLOOKUP(E881,Index!$A:$A,Index!$B:$B),"")</f>
        <v>125</v>
      </c>
      <c r="G881" s="257"/>
      <c r="H881"/>
      <c r="I881"/>
      <c r="J881"/>
      <c r="K881"/>
      <c r="L881"/>
    </row>
    <row r="882" spans="1:12" s="1" customFormat="1" x14ac:dyDescent="0.25">
      <c r="A882" s="26"/>
      <c r="B882" s="26"/>
      <c r="C882" s="35">
        <v>4</v>
      </c>
      <c r="D882" s="35">
        <v>100</v>
      </c>
      <c r="E882" s="35" t="s">
        <v>358</v>
      </c>
      <c r="F882" s="34">
        <f>IFERROR(_xlfn.XLOOKUP(E882,Index!$A:$A,Index!$B:$B),"")</f>
        <v>204</v>
      </c>
      <c r="G882"/>
      <c r="H882"/>
      <c r="I882"/>
      <c r="J882"/>
      <c r="K882"/>
      <c r="L882"/>
    </row>
    <row r="883" spans="1:12" s="1" customFormat="1" x14ac:dyDescent="0.25">
      <c r="A883" s="26"/>
      <c r="B883" s="26"/>
      <c r="C883" s="35">
        <v>5</v>
      </c>
      <c r="D883" s="35">
        <v>125</v>
      </c>
      <c r="E883" s="35" t="s">
        <v>359</v>
      </c>
      <c r="F883" s="34">
        <f>IFERROR(_xlfn.XLOOKUP(E883,Index!$A:$A,Index!$B:$B),"")</f>
        <v>316</v>
      </c>
      <c r="G883"/>
      <c r="H883"/>
      <c r="I883"/>
      <c r="J883"/>
      <c r="K883"/>
      <c r="L883"/>
    </row>
    <row r="884" spans="1:12" s="1" customFormat="1" x14ac:dyDescent="0.25">
      <c r="A884" s="26"/>
      <c r="B884" s="26"/>
      <c r="C884" s="35">
        <v>6</v>
      </c>
      <c r="D884" s="35">
        <v>150</v>
      </c>
      <c r="E884" s="35" t="s">
        <v>360</v>
      </c>
      <c r="F884" s="34">
        <f>IFERROR(_xlfn.XLOOKUP(E884,Index!$A:$A,Index!$B:$B),"")</f>
        <v>394.5</v>
      </c>
      <c r="G884"/>
      <c r="H884"/>
      <c r="I884"/>
      <c r="J884"/>
      <c r="K884"/>
      <c r="L884"/>
    </row>
    <row r="885" spans="1:12" s="1" customFormat="1" x14ac:dyDescent="0.25">
      <c r="A885" s="26"/>
      <c r="B885" s="26"/>
      <c r="C885" s="35">
        <v>8</v>
      </c>
      <c r="D885" s="35">
        <v>200</v>
      </c>
      <c r="E885" s="35" t="s">
        <v>361</v>
      </c>
      <c r="F885" s="34">
        <f>IFERROR(_xlfn.XLOOKUP(E885,Index!$A:$A,Index!$B:$B),"")</f>
        <v>1246</v>
      </c>
      <c r="G885"/>
      <c r="H885"/>
      <c r="I885"/>
      <c r="J885"/>
      <c r="K885"/>
      <c r="L885"/>
    </row>
    <row r="886" spans="1:12" s="1" customFormat="1" x14ac:dyDescent="0.25">
      <c r="A886" s="26"/>
      <c r="B886" s="26"/>
      <c r="C886" s="35">
        <v>10</v>
      </c>
      <c r="D886" s="35">
        <v>250</v>
      </c>
      <c r="E886" s="35" t="s">
        <v>362</v>
      </c>
      <c r="F886" s="34">
        <f>IFERROR(_xlfn.XLOOKUP(E886,Index!$A:$A,Index!$B:$B),"")</f>
        <v>2084</v>
      </c>
      <c r="G886"/>
      <c r="H886"/>
      <c r="I886"/>
      <c r="J886"/>
      <c r="K886"/>
      <c r="L886"/>
    </row>
    <row r="887" spans="1:12" s="1" customFormat="1" x14ac:dyDescent="0.25">
      <c r="A887" s="26"/>
      <c r="B887" s="26"/>
      <c r="C887" s="35">
        <v>12</v>
      </c>
      <c r="D887" s="35">
        <v>300</v>
      </c>
      <c r="E887" s="35" t="s">
        <v>363</v>
      </c>
      <c r="F887" s="34">
        <f>IFERROR(_xlfn.XLOOKUP(E887,Index!$A:$A,Index!$B:$B),"")</f>
        <v>6254</v>
      </c>
      <c r="G887"/>
      <c r="H887"/>
      <c r="I887"/>
      <c r="J887"/>
      <c r="K887"/>
      <c r="L887"/>
    </row>
    <row r="888" spans="1:12" s="1" customFormat="1" x14ac:dyDescent="0.25">
      <c r="A888" s="26"/>
      <c r="B888" s="26"/>
      <c r="C888" s="35">
        <v>14</v>
      </c>
      <c r="D888" s="35">
        <v>350</v>
      </c>
      <c r="E888" s="268" t="s">
        <v>5542</v>
      </c>
      <c r="F888" s="250">
        <f t="shared" ref="F888:F892" si="10">F869</f>
        <v>3150</v>
      </c>
      <c r="G888"/>
      <c r="H888"/>
      <c r="I888"/>
      <c r="J888"/>
      <c r="K888"/>
      <c r="L888"/>
    </row>
    <row r="889" spans="1:12" s="1" customFormat="1" x14ac:dyDescent="0.25">
      <c r="A889" s="26"/>
      <c r="B889" s="26"/>
      <c r="C889" s="35">
        <v>16</v>
      </c>
      <c r="D889" s="35">
        <v>400</v>
      </c>
      <c r="E889" s="268" t="s">
        <v>5542</v>
      </c>
      <c r="F889" s="250">
        <f t="shared" si="10"/>
        <v>4435</v>
      </c>
      <c r="G889"/>
      <c r="H889"/>
      <c r="I889"/>
      <c r="J889"/>
      <c r="K889"/>
      <c r="L889"/>
    </row>
    <row r="890" spans="1:12" s="1" customFormat="1" x14ac:dyDescent="0.25">
      <c r="A890" s="26"/>
      <c r="B890" s="26"/>
      <c r="C890" s="35">
        <v>18</v>
      </c>
      <c r="D890" s="35">
        <v>450</v>
      </c>
      <c r="E890" s="268" t="s">
        <v>5542</v>
      </c>
      <c r="F890" s="250">
        <f t="shared" si="10"/>
        <v>6303</v>
      </c>
      <c r="G890"/>
      <c r="H890"/>
      <c r="I890"/>
      <c r="J890"/>
      <c r="K890"/>
      <c r="L890"/>
    </row>
    <row r="891" spans="1:12" s="1" customFormat="1" x14ac:dyDescent="0.25">
      <c r="A891" s="26"/>
      <c r="B891" s="26"/>
      <c r="C891" s="35">
        <v>20</v>
      </c>
      <c r="D891" s="35">
        <v>500</v>
      </c>
      <c r="E891" s="268" t="s">
        <v>5542</v>
      </c>
      <c r="F891" s="250">
        <f t="shared" si="10"/>
        <v>7106</v>
      </c>
      <c r="G891"/>
      <c r="H891"/>
      <c r="I891"/>
      <c r="J891"/>
      <c r="K891"/>
      <c r="L891"/>
    </row>
    <row r="892" spans="1:12" s="1" customFormat="1" x14ac:dyDescent="0.25">
      <c r="A892" s="26"/>
      <c r="B892" s="27"/>
      <c r="C892" s="35">
        <v>24</v>
      </c>
      <c r="D892" s="35">
        <v>550</v>
      </c>
      <c r="E892" s="268" t="s">
        <v>5542</v>
      </c>
      <c r="F892" s="250">
        <f t="shared" si="10"/>
        <v>8453</v>
      </c>
      <c r="G892"/>
      <c r="H892"/>
      <c r="I892"/>
      <c r="J892"/>
      <c r="K892"/>
      <c r="L892"/>
    </row>
    <row r="893" spans="1:12" s="1" customFormat="1" x14ac:dyDescent="0.25">
      <c r="A893" s="26"/>
      <c r="B893" s="60" t="s">
        <v>933</v>
      </c>
      <c r="C893" s="65">
        <v>0.5</v>
      </c>
      <c r="D893" s="35">
        <v>15</v>
      </c>
      <c r="E893" s="35" t="s">
        <v>169</v>
      </c>
      <c r="F893" s="34">
        <f>IFERROR(_xlfn.XLOOKUP(E893,Index!$A:$A,Index!$B:$B),"")</f>
        <v>6</v>
      </c>
      <c r="G893"/>
      <c r="H893"/>
      <c r="I893"/>
      <c r="J893"/>
      <c r="K893"/>
      <c r="L893"/>
    </row>
    <row r="894" spans="1:12" s="1" customFormat="1" x14ac:dyDescent="0.25">
      <c r="A894" s="26"/>
      <c r="B894" s="26"/>
      <c r="C894" s="61" t="s">
        <v>217</v>
      </c>
      <c r="D894" s="35">
        <v>20</v>
      </c>
      <c r="E894" s="35" t="s">
        <v>364</v>
      </c>
      <c r="F894" s="34">
        <f>IFERROR(_xlfn.XLOOKUP(E894,Index!$A:$A,Index!$B:$B),"")</f>
        <v>7</v>
      </c>
      <c r="G894"/>
      <c r="H894"/>
      <c r="I894"/>
      <c r="J894"/>
      <c r="K894"/>
      <c r="L894"/>
    </row>
    <row r="895" spans="1:12" s="1" customFormat="1" x14ac:dyDescent="0.25">
      <c r="A895" s="26"/>
      <c r="B895" s="26"/>
      <c r="C895" s="35">
        <v>1</v>
      </c>
      <c r="D895" s="35">
        <v>25</v>
      </c>
      <c r="E895" s="35" t="s">
        <v>364</v>
      </c>
      <c r="F895" s="34">
        <f>IFERROR(_xlfn.XLOOKUP(E895,Index!$A:$A,Index!$B:$B),"")</f>
        <v>7</v>
      </c>
      <c r="G895"/>
      <c r="H895"/>
      <c r="I895"/>
      <c r="J895"/>
      <c r="K895"/>
      <c r="L895"/>
    </row>
    <row r="896" spans="1:12" s="1" customFormat="1" x14ac:dyDescent="0.25">
      <c r="A896" s="26"/>
      <c r="B896" s="26"/>
      <c r="C896" s="35" t="s">
        <v>223</v>
      </c>
      <c r="D896" s="35">
        <v>32</v>
      </c>
      <c r="E896" s="35" t="s">
        <v>364</v>
      </c>
      <c r="F896" s="34">
        <f>IFERROR(_xlfn.XLOOKUP(E896,Index!$A:$A,Index!$B:$B),"")</f>
        <v>7</v>
      </c>
      <c r="G896"/>
      <c r="H896"/>
      <c r="I896"/>
      <c r="J896"/>
      <c r="K896"/>
      <c r="L896"/>
    </row>
    <row r="897" spans="1:12" s="1" customFormat="1" x14ac:dyDescent="0.25">
      <c r="A897" s="26"/>
      <c r="B897" s="26"/>
      <c r="C897" s="35" t="s">
        <v>225</v>
      </c>
      <c r="D897" s="35">
        <v>40</v>
      </c>
      <c r="E897" s="35" t="s">
        <v>364</v>
      </c>
      <c r="F897" s="34">
        <f>IFERROR(_xlfn.XLOOKUP(E897,Index!$A:$A,Index!$B:$B),"")</f>
        <v>7</v>
      </c>
      <c r="G897"/>
      <c r="H897"/>
      <c r="I897"/>
      <c r="J897"/>
      <c r="K897"/>
      <c r="L897"/>
    </row>
    <row r="898" spans="1:12" s="1" customFormat="1" x14ac:dyDescent="0.25">
      <c r="A898" s="26"/>
      <c r="B898" s="26"/>
      <c r="C898" s="35">
        <v>2</v>
      </c>
      <c r="D898" s="35">
        <v>50</v>
      </c>
      <c r="E898" s="35" t="s">
        <v>364</v>
      </c>
      <c r="F898" s="34">
        <f>IFERROR(_xlfn.XLOOKUP(E898,Index!$A:$A,Index!$B:$B),"")</f>
        <v>7</v>
      </c>
      <c r="G898"/>
      <c r="H898"/>
      <c r="I898"/>
      <c r="J898"/>
      <c r="K898"/>
      <c r="L898"/>
    </row>
    <row r="899" spans="1:12" s="1" customFormat="1" x14ac:dyDescent="0.25">
      <c r="A899" s="26"/>
      <c r="B899" s="26"/>
      <c r="C899" s="35" t="s">
        <v>231</v>
      </c>
      <c r="D899" s="35">
        <v>65</v>
      </c>
      <c r="E899" s="35" t="s">
        <v>365</v>
      </c>
      <c r="F899" s="34">
        <f>IFERROR(_xlfn.XLOOKUP(E899,Index!$A:$A,Index!$B:$B),"")</f>
        <v>9.75</v>
      </c>
      <c r="G899"/>
      <c r="H899"/>
      <c r="I899"/>
      <c r="J899"/>
      <c r="K899"/>
      <c r="L899"/>
    </row>
    <row r="900" spans="1:12" s="1" customFormat="1" x14ac:dyDescent="0.25">
      <c r="A900" s="26"/>
      <c r="B900" s="26"/>
      <c r="C900" s="35">
        <v>3</v>
      </c>
      <c r="D900" s="35">
        <v>80</v>
      </c>
      <c r="E900" s="35" t="s">
        <v>365</v>
      </c>
      <c r="F900" s="34">
        <f>IFERROR(_xlfn.XLOOKUP(E900,Index!$A:$A,Index!$B:$B),"")</f>
        <v>9.75</v>
      </c>
      <c r="G900"/>
      <c r="H900"/>
      <c r="I900"/>
      <c r="J900"/>
      <c r="K900"/>
      <c r="L900"/>
    </row>
    <row r="901" spans="1:12" s="1" customFormat="1" x14ac:dyDescent="0.25">
      <c r="A901" s="26"/>
      <c r="B901" s="26"/>
      <c r="C901" s="35">
        <v>4</v>
      </c>
      <c r="D901" s="35">
        <v>100</v>
      </c>
      <c r="E901" s="35" t="s">
        <v>366</v>
      </c>
      <c r="F901" s="34">
        <f>IFERROR(_xlfn.XLOOKUP(E901,Index!$A:$A,Index!$B:$B),"")</f>
        <v>33.25</v>
      </c>
      <c r="G901"/>
      <c r="H901"/>
      <c r="I901"/>
      <c r="J901"/>
      <c r="K901"/>
      <c r="L901"/>
    </row>
    <row r="902" spans="1:12" s="1" customFormat="1" x14ac:dyDescent="0.25">
      <c r="A902" s="26"/>
      <c r="B902" s="26"/>
      <c r="C902" s="35">
        <v>5</v>
      </c>
      <c r="D902" s="35">
        <v>125</v>
      </c>
      <c r="E902" s="35" t="s">
        <v>367</v>
      </c>
      <c r="F902" s="34">
        <f>IFERROR(_xlfn.XLOOKUP(E902,Index!$A:$A,Index!$B:$B),"")</f>
        <v>50</v>
      </c>
      <c r="G902"/>
      <c r="H902"/>
      <c r="I902"/>
      <c r="J902"/>
      <c r="K902"/>
      <c r="L902"/>
    </row>
    <row r="903" spans="1:12" s="1" customFormat="1" x14ac:dyDescent="0.25">
      <c r="A903" s="26"/>
      <c r="B903" s="26"/>
      <c r="C903" s="35">
        <v>6</v>
      </c>
      <c r="D903" s="35">
        <v>150</v>
      </c>
      <c r="E903" s="35" t="s">
        <v>367</v>
      </c>
      <c r="F903" s="34">
        <f>IFERROR(_xlfn.XLOOKUP(E903,Index!$A:$A,Index!$B:$B),"")</f>
        <v>50</v>
      </c>
      <c r="G903"/>
      <c r="H903"/>
      <c r="I903"/>
      <c r="J903"/>
      <c r="K903"/>
      <c r="L903"/>
    </row>
    <row r="904" spans="1:12" s="1" customFormat="1" x14ac:dyDescent="0.25">
      <c r="A904" s="26"/>
      <c r="B904" s="26"/>
      <c r="C904" s="35">
        <v>8</v>
      </c>
      <c r="D904" s="35">
        <v>200</v>
      </c>
      <c r="E904" s="35" t="s">
        <v>367</v>
      </c>
      <c r="F904" s="34">
        <f>IFERROR(_xlfn.XLOOKUP(E904,Index!$A:$A,Index!$B:$B),"")</f>
        <v>50</v>
      </c>
      <c r="G904"/>
      <c r="H904"/>
      <c r="I904"/>
      <c r="J904"/>
      <c r="K904"/>
      <c r="L904"/>
    </row>
    <row r="905" spans="1:12" s="1" customFormat="1" x14ac:dyDescent="0.25">
      <c r="A905" s="26"/>
      <c r="B905" s="26"/>
      <c r="C905" s="35">
        <v>10</v>
      </c>
      <c r="D905" s="35">
        <v>250</v>
      </c>
      <c r="E905" s="35" t="s">
        <v>367</v>
      </c>
      <c r="F905" s="34">
        <f>IFERROR(_xlfn.XLOOKUP(E905,Index!$A:$A,Index!$B:$B),"")</f>
        <v>50</v>
      </c>
      <c r="G905"/>
      <c r="H905"/>
      <c r="I905"/>
      <c r="J905"/>
      <c r="K905"/>
      <c r="L905"/>
    </row>
    <row r="906" spans="1:12" s="1" customFormat="1" x14ac:dyDescent="0.25">
      <c r="A906" s="26"/>
      <c r="B906" s="26"/>
      <c r="C906" s="35">
        <v>12</v>
      </c>
      <c r="D906" s="35">
        <v>300</v>
      </c>
      <c r="E906" s="35" t="s">
        <v>367</v>
      </c>
      <c r="F906" s="34">
        <f>IFERROR(_xlfn.XLOOKUP(E906,Index!$A:$A,Index!$B:$B),"")</f>
        <v>50</v>
      </c>
      <c r="G906"/>
      <c r="H906"/>
      <c r="I906"/>
      <c r="J906"/>
      <c r="K906"/>
      <c r="L906"/>
    </row>
    <row r="907" spans="1:12" s="1" customFormat="1" x14ac:dyDescent="0.25">
      <c r="A907" s="26"/>
      <c r="B907" s="26"/>
      <c r="C907" s="35">
        <v>14</v>
      </c>
      <c r="D907" s="35">
        <v>350</v>
      </c>
      <c r="E907" s="35" t="s">
        <v>367</v>
      </c>
      <c r="F907" s="34">
        <f>IFERROR(_xlfn.XLOOKUP(E907,Index!$A:$A,Index!$B:$B),"")</f>
        <v>50</v>
      </c>
      <c r="G907"/>
      <c r="H907"/>
      <c r="I907"/>
      <c r="J907"/>
      <c r="K907"/>
      <c r="L907"/>
    </row>
    <row r="908" spans="1:12" s="1" customFormat="1" x14ac:dyDescent="0.25">
      <c r="A908" s="26"/>
      <c r="B908" s="26"/>
      <c r="C908" s="35">
        <v>16</v>
      </c>
      <c r="D908" s="35">
        <v>400</v>
      </c>
      <c r="E908" s="35" t="s">
        <v>367</v>
      </c>
      <c r="F908" s="34">
        <f>IFERROR(_xlfn.XLOOKUP(E908,Index!$A:$A,Index!$B:$B),"")</f>
        <v>50</v>
      </c>
      <c r="G908"/>
      <c r="H908"/>
      <c r="I908"/>
      <c r="J908"/>
      <c r="K908"/>
      <c r="L908"/>
    </row>
    <row r="909" spans="1:12" s="1" customFormat="1" x14ac:dyDescent="0.25">
      <c r="A909" s="26"/>
      <c r="B909" s="26"/>
      <c r="C909" s="35">
        <v>18</v>
      </c>
      <c r="D909" s="35">
        <v>450</v>
      </c>
      <c r="E909" s="35" t="s">
        <v>367</v>
      </c>
      <c r="F909" s="34">
        <f>IFERROR(_xlfn.XLOOKUP(E909,Index!$A:$A,Index!$B:$B),"")</f>
        <v>50</v>
      </c>
      <c r="G909"/>
      <c r="H909"/>
      <c r="I909"/>
      <c r="J909"/>
      <c r="K909"/>
      <c r="L909"/>
    </row>
    <row r="910" spans="1:12" s="1" customFormat="1" x14ac:dyDescent="0.25">
      <c r="A910" s="26"/>
      <c r="B910" s="26"/>
      <c r="C910" s="35">
        <v>20</v>
      </c>
      <c r="D910" s="35">
        <v>500</v>
      </c>
      <c r="E910" s="35" t="s">
        <v>367</v>
      </c>
      <c r="F910" s="34">
        <f>IFERROR(_xlfn.XLOOKUP(E910,Index!$A:$A,Index!$B:$B),"")</f>
        <v>50</v>
      </c>
      <c r="G910"/>
      <c r="H910"/>
      <c r="I910"/>
      <c r="J910"/>
      <c r="K910"/>
      <c r="L910"/>
    </row>
    <row r="911" spans="1:12" s="1" customFormat="1" x14ac:dyDescent="0.25">
      <c r="A911" s="27"/>
      <c r="B911" s="27"/>
      <c r="C911" s="35">
        <v>24</v>
      </c>
      <c r="D911" s="35">
        <v>550</v>
      </c>
      <c r="E911" s="35" t="s">
        <v>367</v>
      </c>
      <c r="F911" s="34">
        <f>IFERROR(_xlfn.XLOOKUP(E911,Index!$A:$A,Index!$B:$B),"")</f>
        <v>50</v>
      </c>
      <c r="G911"/>
      <c r="H911"/>
      <c r="I911"/>
      <c r="J911"/>
      <c r="K911"/>
      <c r="L911"/>
    </row>
    <row r="913" spans="1:16" s="1" customFormat="1" ht="15.75" x14ac:dyDescent="0.25">
      <c r="A913" s="62" t="s">
        <v>21</v>
      </c>
      <c r="B913" s="63" t="s">
        <v>650</v>
      </c>
      <c r="C913" s="14"/>
      <c r="D913" s="3"/>
      <c r="E913" s="8"/>
      <c r="F913" s="110"/>
      <c r="G913" s="111"/>
      <c r="H913" s="19"/>
      <c r="I913" s="19"/>
      <c r="J913" s="20"/>
      <c r="K913"/>
      <c r="L913"/>
      <c r="M913"/>
      <c r="N913"/>
      <c r="O913"/>
      <c r="P913"/>
    </row>
    <row r="914" spans="1:16" s="1" customFormat="1" ht="15.75" x14ac:dyDescent="0.25">
      <c r="A914" s="48" t="s">
        <v>1020</v>
      </c>
      <c r="B914" s="11"/>
      <c r="C914" s="4"/>
      <c r="D914" s="4"/>
      <c r="E914" s="5"/>
      <c r="F914" s="110"/>
      <c r="G914" s="4"/>
      <c r="H914" s="19"/>
      <c r="I914" s="19"/>
      <c r="J914" s="20"/>
      <c r="K914"/>
      <c r="L914"/>
      <c r="M914"/>
      <c r="N914"/>
      <c r="O914"/>
      <c r="P914"/>
    </row>
    <row r="915" spans="1:16" s="1" customFormat="1" x14ac:dyDescent="0.25">
      <c r="A915" s="25" t="s">
        <v>35</v>
      </c>
      <c r="B915" s="28" t="s">
        <v>36</v>
      </c>
      <c r="C915" s="29" t="s">
        <v>37</v>
      </c>
      <c r="D915" s="22"/>
      <c r="E915" s="22" t="s">
        <v>38</v>
      </c>
      <c r="F915" s="22"/>
      <c r="G915" s="23" t="s">
        <v>39</v>
      </c>
      <c r="H915" s="23"/>
      <c r="I915" s="42" t="s">
        <v>40</v>
      </c>
      <c r="J915" s="24" t="s">
        <v>41</v>
      </c>
      <c r="K915"/>
      <c r="L915"/>
      <c r="M915"/>
      <c r="N915"/>
      <c r="O915"/>
      <c r="P915"/>
    </row>
    <row r="916" spans="1:16" s="1" customFormat="1" x14ac:dyDescent="0.25">
      <c r="A916" s="32"/>
      <c r="B916" s="32"/>
      <c r="C916" s="33" t="s">
        <v>42</v>
      </c>
      <c r="D916" s="33" t="s">
        <v>43</v>
      </c>
      <c r="E916" s="33" t="s">
        <v>44</v>
      </c>
      <c r="F916" s="33" t="s">
        <v>45</v>
      </c>
      <c r="G916" s="33" t="s">
        <v>46</v>
      </c>
      <c r="H916" s="39" t="s">
        <v>47</v>
      </c>
      <c r="I916" s="33"/>
      <c r="J916" s="41"/>
      <c r="K916"/>
      <c r="L916"/>
      <c r="M916"/>
      <c r="N916"/>
      <c r="O916"/>
      <c r="P916"/>
    </row>
    <row r="917" spans="1:16" s="1" customFormat="1" x14ac:dyDescent="0.25">
      <c r="A917" s="26">
        <v>764</v>
      </c>
      <c r="B917" s="26" t="s">
        <v>1021</v>
      </c>
      <c r="C917" s="30" t="s">
        <v>50</v>
      </c>
      <c r="D917" s="35" t="s">
        <v>176</v>
      </c>
      <c r="E917" s="64">
        <v>0.5</v>
      </c>
      <c r="F917" s="98">
        <v>15</v>
      </c>
      <c r="G917" s="35">
        <v>6</v>
      </c>
      <c r="H917" s="40">
        <v>2.7</v>
      </c>
      <c r="I917" s="38" t="s">
        <v>1022</v>
      </c>
      <c r="J917" s="34">
        <f>IFERROR(_xlfn.XLOOKUP(I917,Index!$A:$A,Index!$B:$B),"")</f>
        <v>1706</v>
      </c>
      <c r="K917"/>
      <c r="L917"/>
      <c r="M917"/>
      <c r="N917"/>
      <c r="O917"/>
      <c r="P917"/>
    </row>
    <row r="918" spans="1:16" s="1" customFormat="1" x14ac:dyDescent="0.25">
      <c r="A918" s="26"/>
      <c r="B918" s="26"/>
      <c r="C918" s="30"/>
      <c r="D918" s="35" t="s">
        <v>53</v>
      </c>
      <c r="E918" s="64">
        <v>0.5</v>
      </c>
      <c r="F918" s="98">
        <v>15</v>
      </c>
      <c r="G918" s="35">
        <v>6</v>
      </c>
      <c r="H918" s="40">
        <v>2.7</v>
      </c>
      <c r="I918" s="38" t="s">
        <v>1023</v>
      </c>
      <c r="J918" s="34">
        <f>IFERROR(_xlfn.XLOOKUP(I918,Index!$A:$A,Index!$B:$B),"")</f>
        <v>1791</v>
      </c>
      <c r="K918"/>
      <c r="L918"/>
      <c r="M918"/>
      <c r="N918"/>
      <c r="O918"/>
      <c r="P918"/>
    </row>
    <row r="919" spans="1:16" s="1" customFormat="1" x14ac:dyDescent="0.25">
      <c r="A919" s="26"/>
      <c r="B919" s="26"/>
      <c r="C919" s="30"/>
      <c r="D919" s="35" t="s">
        <v>55</v>
      </c>
      <c r="E919" s="64">
        <v>0.5</v>
      </c>
      <c r="F919" s="98">
        <v>15</v>
      </c>
      <c r="G919" s="35">
        <v>6</v>
      </c>
      <c r="H919" s="40">
        <v>2.7</v>
      </c>
      <c r="I919" s="268" t="s">
        <v>5542</v>
      </c>
      <c r="J919" s="34">
        <f>J918</f>
        <v>1791</v>
      </c>
      <c r="K919"/>
      <c r="L919"/>
      <c r="M919"/>
      <c r="N919"/>
      <c r="O919"/>
      <c r="P919"/>
    </row>
    <row r="920" spans="1:16" s="1" customFormat="1" x14ac:dyDescent="0.25">
      <c r="A920" s="26"/>
      <c r="B920" s="26"/>
      <c r="C920" s="30"/>
      <c r="D920" s="35" t="s">
        <v>176</v>
      </c>
      <c r="E920" s="36" t="s">
        <v>217</v>
      </c>
      <c r="F920" s="98">
        <v>20</v>
      </c>
      <c r="G920" s="35">
        <v>12</v>
      </c>
      <c r="H920" s="40">
        <v>5.4</v>
      </c>
      <c r="I920" s="38" t="s">
        <v>1024</v>
      </c>
      <c r="J920" s="34">
        <f>IFERROR(_xlfn.XLOOKUP(I920,Index!$A:$A,Index!$B:$B),"")</f>
        <v>2153</v>
      </c>
      <c r="K920"/>
      <c r="L920"/>
      <c r="M920"/>
      <c r="N920"/>
      <c r="O920"/>
      <c r="P920"/>
    </row>
    <row r="921" spans="1:16" s="1" customFormat="1" x14ac:dyDescent="0.25">
      <c r="A921" s="26"/>
      <c r="B921" s="26"/>
      <c r="C921" s="30"/>
      <c r="D921" s="35" t="s">
        <v>53</v>
      </c>
      <c r="E921" s="36" t="s">
        <v>217</v>
      </c>
      <c r="F921" s="98">
        <v>20</v>
      </c>
      <c r="G921" s="35">
        <v>12</v>
      </c>
      <c r="H921" s="40">
        <v>5.4</v>
      </c>
      <c r="I921" s="38" t="s">
        <v>1025</v>
      </c>
      <c r="J921" s="34">
        <f>IFERROR(_xlfn.XLOOKUP(I921,Index!$A:$A,Index!$B:$B),"")</f>
        <v>2259</v>
      </c>
      <c r="K921"/>
      <c r="L921"/>
      <c r="M921"/>
      <c r="N921"/>
      <c r="O921"/>
      <c r="P921"/>
    </row>
    <row r="922" spans="1:16" s="1" customFormat="1" x14ac:dyDescent="0.25">
      <c r="A922" s="26"/>
      <c r="B922" s="26"/>
      <c r="C922" s="30"/>
      <c r="D922" s="35" t="s">
        <v>55</v>
      </c>
      <c r="E922" s="36" t="s">
        <v>217</v>
      </c>
      <c r="F922" s="98">
        <v>20</v>
      </c>
      <c r="G922" s="35">
        <v>12</v>
      </c>
      <c r="H922" s="40">
        <v>5.4</v>
      </c>
      <c r="I922" s="268" t="s">
        <v>5542</v>
      </c>
      <c r="J922" s="34">
        <f>J921</f>
        <v>2259</v>
      </c>
      <c r="K922"/>
      <c r="L922"/>
      <c r="M922"/>
      <c r="N922"/>
      <c r="O922"/>
      <c r="P922"/>
    </row>
    <row r="923" spans="1:16" s="1" customFormat="1" x14ac:dyDescent="0.25">
      <c r="A923" s="26"/>
      <c r="B923" s="26"/>
      <c r="C923" s="30"/>
      <c r="D923" s="35" t="s">
        <v>176</v>
      </c>
      <c r="E923" s="36">
        <v>1</v>
      </c>
      <c r="F923" s="98">
        <v>25</v>
      </c>
      <c r="G923" s="35">
        <v>12</v>
      </c>
      <c r="H923" s="40">
        <v>5.4</v>
      </c>
      <c r="I923" s="38" t="s">
        <v>1026</v>
      </c>
      <c r="J923" s="34">
        <f>IFERROR(_xlfn.XLOOKUP(I923,Index!$A:$A,Index!$B:$B),"")</f>
        <v>2153</v>
      </c>
      <c r="K923"/>
      <c r="L923"/>
      <c r="M923"/>
      <c r="N923"/>
      <c r="O923"/>
      <c r="P923"/>
    </row>
    <row r="924" spans="1:16" s="1" customFormat="1" x14ac:dyDescent="0.25">
      <c r="A924" s="26"/>
      <c r="B924" s="26"/>
      <c r="C924" s="30"/>
      <c r="D924" s="35" t="s">
        <v>53</v>
      </c>
      <c r="E924" s="36">
        <v>1</v>
      </c>
      <c r="F924" s="98">
        <v>25</v>
      </c>
      <c r="G924" s="35">
        <v>12</v>
      </c>
      <c r="H924" s="40">
        <v>5.4</v>
      </c>
      <c r="I924" s="38" t="s">
        <v>1027</v>
      </c>
      <c r="J924" s="34">
        <f>IFERROR(_xlfn.XLOOKUP(I924,Index!$A:$A,Index!$B:$B),"")</f>
        <v>2259</v>
      </c>
      <c r="K924"/>
      <c r="L924"/>
      <c r="M924"/>
      <c r="N924"/>
      <c r="O924"/>
      <c r="P924"/>
    </row>
    <row r="925" spans="1:16" s="1" customFormat="1" x14ac:dyDescent="0.25">
      <c r="A925" s="26"/>
      <c r="B925" s="26"/>
      <c r="C925" s="30"/>
      <c r="D925" s="35" t="s">
        <v>55</v>
      </c>
      <c r="E925" s="36">
        <v>1</v>
      </c>
      <c r="F925" s="98">
        <v>25</v>
      </c>
      <c r="G925" s="35">
        <v>12</v>
      </c>
      <c r="H925" s="40">
        <v>5.4</v>
      </c>
      <c r="I925" s="38" t="s">
        <v>1028</v>
      </c>
      <c r="J925" s="34">
        <f>IFERROR(_xlfn.XLOOKUP(I925,Index!$A:$A,Index!$B:$B),"")</f>
        <v>2259</v>
      </c>
      <c r="K925"/>
      <c r="L925"/>
      <c r="M925"/>
      <c r="N925"/>
      <c r="O925"/>
      <c r="P925"/>
    </row>
    <row r="926" spans="1:16" s="1" customFormat="1" x14ac:dyDescent="0.25">
      <c r="A926" s="26"/>
      <c r="B926" s="26"/>
      <c r="C926" s="30"/>
      <c r="D926" s="35" t="s">
        <v>176</v>
      </c>
      <c r="E926" s="36" t="s">
        <v>223</v>
      </c>
      <c r="F926" s="98">
        <v>32</v>
      </c>
      <c r="G926" s="35">
        <v>19</v>
      </c>
      <c r="H926" s="40">
        <v>8.6</v>
      </c>
      <c r="I926" s="38" t="s">
        <v>1029</v>
      </c>
      <c r="J926" s="34">
        <f>IFERROR(_xlfn.XLOOKUP(I926,Index!$A:$A,Index!$B:$B),"")</f>
        <v>2877</v>
      </c>
      <c r="K926"/>
      <c r="L926"/>
      <c r="M926"/>
      <c r="N926"/>
      <c r="O926"/>
      <c r="P926"/>
    </row>
    <row r="927" spans="1:16" s="1" customFormat="1" x14ac:dyDescent="0.25">
      <c r="A927" s="26"/>
      <c r="B927" s="26"/>
      <c r="C927" s="30"/>
      <c r="D927" s="35" t="s">
        <v>53</v>
      </c>
      <c r="E927" s="36" t="s">
        <v>223</v>
      </c>
      <c r="F927" s="98">
        <v>32</v>
      </c>
      <c r="G927" s="35">
        <v>19</v>
      </c>
      <c r="H927" s="40">
        <v>8.6</v>
      </c>
      <c r="I927" s="268" t="s">
        <v>5542</v>
      </c>
      <c r="J927" s="34">
        <f>J926+113</f>
        <v>2990</v>
      </c>
      <c r="K927"/>
      <c r="L927"/>
      <c r="M927"/>
      <c r="N927"/>
      <c r="O927"/>
      <c r="P927"/>
    </row>
    <row r="928" spans="1:16" s="1" customFormat="1" x14ac:dyDescent="0.25">
      <c r="A928" s="26"/>
      <c r="B928" s="26"/>
      <c r="C928" s="30"/>
      <c r="D928" s="35" t="s">
        <v>55</v>
      </c>
      <c r="E928" s="36" t="s">
        <v>223</v>
      </c>
      <c r="F928" s="98">
        <v>32</v>
      </c>
      <c r="G928" s="35">
        <v>19</v>
      </c>
      <c r="H928" s="40">
        <v>8.6</v>
      </c>
      <c r="I928" s="268" t="s">
        <v>5542</v>
      </c>
      <c r="J928" s="34">
        <f>J927</f>
        <v>2990</v>
      </c>
      <c r="K928"/>
      <c r="L928"/>
      <c r="M928"/>
      <c r="N928"/>
      <c r="O928"/>
      <c r="P928"/>
    </row>
    <row r="929" spans="1:16" s="1" customFormat="1" x14ac:dyDescent="0.25">
      <c r="A929" s="26"/>
      <c r="B929" s="26"/>
      <c r="C929" s="30"/>
      <c r="D929" s="35" t="s">
        <v>176</v>
      </c>
      <c r="E929" s="36" t="s">
        <v>225</v>
      </c>
      <c r="F929" s="98">
        <v>40</v>
      </c>
      <c r="G929" s="35">
        <v>27</v>
      </c>
      <c r="H929" s="40">
        <v>12.2</v>
      </c>
      <c r="I929" s="38" t="s">
        <v>1030</v>
      </c>
      <c r="J929" s="34">
        <f>IFERROR(_xlfn.XLOOKUP(I929,Index!$A:$A,Index!$B:$B),"")</f>
        <v>2903</v>
      </c>
      <c r="K929"/>
      <c r="L929"/>
      <c r="M929"/>
      <c r="N929"/>
      <c r="O929"/>
      <c r="P929"/>
    </row>
    <row r="930" spans="1:16" s="1" customFormat="1" x14ac:dyDescent="0.25">
      <c r="A930" s="26"/>
      <c r="B930" s="26"/>
      <c r="C930" s="30"/>
      <c r="D930" s="35" t="s">
        <v>53</v>
      </c>
      <c r="E930" s="36" t="s">
        <v>225</v>
      </c>
      <c r="F930" s="98">
        <v>40</v>
      </c>
      <c r="G930" s="35">
        <v>27</v>
      </c>
      <c r="H930" s="40">
        <v>12.2</v>
      </c>
      <c r="I930" s="268" t="s">
        <v>5542</v>
      </c>
      <c r="J930" s="34">
        <f>J931</f>
        <v>3048</v>
      </c>
      <c r="K930"/>
      <c r="L930"/>
      <c r="M930"/>
      <c r="N930"/>
      <c r="O930"/>
      <c r="P930"/>
    </row>
    <row r="931" spans="1:16" s="1" customFormat="1" x14ac:dyDescent="0.25">
      <c r="A931" s="26"/>
      <c r="B931" s="26"/>
      <c r="C931" s="30"/>
      <c r="D931" s="35" t="s">
        <v>55</v>
      </c>
      <c r="E931" s="36" t="s">
        <v>225</v>
      </c>
      <c r="F931" s="98">
        <v>40</v>
      </c>
      <c r="G931" s="35">
        <v>27</v>
      </c>
      <c r="H931" s="40">
        <v>12.2</v>
      </c>
      <c r="I931" s="38" t="s">
        <v>1031</v>
      </c>
      <c r="J931" s="34">
        <f>IFERROR(_xlfn.XLOOKUP(I931,Index!$A:$A,Index!$B:$B),"")</f>
        <v>3048</v>
      </c>
      <c r="K931"/>
      <c r="L931"/>
      <c r="M931"/>
      <c r="N931"/>
      <c r="O931"/>
      <c r="P931"/>
    </row>
    <row r="932" spans="1:16" s="1" customFormat="1" x14ac:dyDescent="0.25">
      <c r="A932" s="26"/>
      <c r="B932" s="26"/>
      <c r="C932" s="30"/>
      <c r="D932" s="35" t="s">
        <v>176</v>
      </c>
      <c r="E932" s="36">
        <v>2</v>
      </c>
      <c r="F932" s="98">
        <v>50</v>
      </c>
      <c r="G932" s="35">
        <v>40</v>
      </c>
      <c r="H932" s="40">
        <v>18.100000000000001</v>
      </c>
      <c r="I932" s="38" t="s">
        <v>1032</v>
      </c>
      <c r="J932" s="34">
        <f>IFERROR(_xlfn.XLOOKUP(I932,Index!$A:$A,Index!$B:$B),"")</f>
        <v>2993</v>
      </c>
      <c r="K932"/>
      <c r="L932"/>
      <c r="M932"/>
      <c r="N932"/>
      <c r="O932"/>
      <c r="P932"/>
    </row>
    <row r="933" spans="1:16" s="1" customFormat="1" x14ac:dyDescent="0.25">
      <c r="A933" s="26"/>
      <c r="B933" s="26"/>
      <c r="C933" s="30"/>
      <c r="D933" s="35" t="s">
        <v>53</v>
      </c>
      <c r="E933" s="36">
        <v>2</v>
      </c>
      <c r="F933" s="98">
        <v>50</v>
      </c>
      <c r="G933" s="35">
        <v>40</v>
      </c>
      <c r="H933" s="40">
        <v>18.100000000000001</v>
      </c>
      <c r="I933" s="38" t="s">
        <v>2988</v>
      </c>
      <c r="J933" s="34">
        <f>IFERROR(_xlfn.XLOOKUP(I933,Index!$A:$A,Index!$B:$B),"")</f>
        <v>3143</v>
      </c>
      <c r="K933"/>
      <c r="L933"/>
      <c r="M933"/>
      <c r="N933"/>
      <c r="O933"/>
      <c r="P933"/>
    </row>
    <row r="934" spans="1:16" s="1" customFormat="1" x14ac:dyDescent="0.25">
      <c r="A934" s="26"/>
      <c r="B934" s="26"/>
      <c r="C934" s="30"/>
      <c r="D934" s="35" t="s">
        <v>55</v>
      </c>
      <c r="E934" s="36">
        <v>2</v>
      </c>
      <c r="F934" s="98">
        <v>50</v>
      </c>
      <c r="G934" s="35">
        <v>40</v>
      </c>
      <c r="H934" s="40">
        <v>18.100000000000001</v>
      </c>
      <c r="I934" s="38" t="s">
        <v>1033</v>
      </c>
      <c r="J934" s="34">
        <f>IFERROR(_xlfn.XLOOKUP(I934,Index!$A:$A,Index!$B:$B),"")</f>
        <v>3143</v>
      </c>
      <c r="K934"/>
      <c r="L934"/>
      <c r="M934"/>
      <c r="N934"/>
      <c r="O934"/>
      <c r="P934"/>
    </row>
    <row r="935" spans="1:16" s="1" customFormat="1" x14ac:dyDescent="0.25">
      <c r="A935" s="26"/>
      <c r="B935" s="26"/>
      <c r="C935" s="30"/>
      <c r="D935" s="35" t="s">
        <v>176</v>
      </c>
      <c r="E935" s="36" t="s">
        <v>231</v>
      </c>
      <c r="F935" s="98">
        <v>65</v>
      </c>
      <c r="G935" s="35">
        <v>60</v>
      </c>
      <c r="H935" s="40">
        <v>27.2</v>
      </c>
      <c r="I935" s="38" t="s">
        <v>1034</v>
      </c>
      <c r="J935" s="34">
        <f>IFERROR(_xlfn.XLOOKUP(I935,Index!$A:$A,Index!$B:$B),"")</f>
        <v>4156</v>
      </c>
      <c r="K935"/>
      <c r="L935"/>
      <c r="M935"/>
      <c r="N935"/>
      <c r="O935"/>
      <c r="P935"/>
    </row>
    <row r="936" spans="1:16" s="1" customFormat="1" x14ac:dyDescent="0.25">
      <c r="A936" s="26"/>
      <c r="B936" s="26"/>
      <c r="C936" s="30"/>
      <c r="D936" s="35" t="s">
        <v>53</v>
      </c>
      <c r="E936" s="36" t="s">
        <v>231</v>
      </c>
      <c r="F936" s="98">
        <v>65</v>
      </c>
      <c r="G936" s="35">
        <v>60</v>
      </c>
      <c r="H936" s="40">
        <v>27.2</v>
      </c>
      <c r="I936" s="38" t="s">
        <v>1035</v>
      </c>
      <c r="J936" s="34">
        <f>IFERROR(_xlfn.XLOOKUP(I936,Index!$A:$A,Index!$B:$B),"")</f>
        <v>4364</v>
      </c>
      <c r="K936"/>
      <c r="L936"/>
      <c r="M936"/>
      <c r="N936"/>
      <c r="O936"/>
      <c r="P936"/>
    </row>
    <row r="937" spans="1:16" s="1" customFormat="1" x14ac:dyDescent="0.25">
      <c r="A937" s="26"/>
      <c r="B937" s="26"/>
      <c r="C937" s="30"/>
      <c r="D937" s="35" t="s">
        <v>55</v>
      </c>
      <c r="E937" s="36" t="s">
        <v>231</v>
      </c>
      <c r="F937" s="98">
        <v>65</v>
      </c>
      <c r="G937" s="35">
        <v>60</v>
      </c>
      <c r="H937" s="40">
        <v>27.2</v>
      </c>
      <c r="I937" s="268" t="s">
        <v>5542</v>
      </c>
      <c r="J937" s="34">
        <f>J936</f>
        <v>4364</v>
      </c>
      <c r="K937"/>
      <c r="L937"/>
      <c r="M937"/>
      <c r="N937"/>
      <c r="O937"/>
      <c r="P937"/>
    </row>
    <row r="938" spans="1:16" s="1" customFormat="1" x14ac:dyDescent="0.25">
      <c r="A938" s="26"/>
      <c r="B938" s="26"/>
      <c r="C938" s="30"/>
      <c r="D938" s="35" t="s">
        <v>176</v>
      </c>
      <c r="E938" s="36">
        <v>3</v>
      </c>
      <c r="F938" s="98">
        <v>80</v>
      </c>
      <c r="G938" s="35">
        <v>78</v>
      </c>
      <c r="H938" s="40">
        <v>35.4</v>
      </c>
      <c r="I938" s="38" t="s">
        <v>1036</v>
      </c>
      <c r="J938" s="34">
        <f>IFERROR(_xlfn.XLOOKUP(I938,Index!$A:$A,Index!$B:$B),"")</f>
        <v>4544</v>
      </c>
      <c r="K938"/>
      <c r="L938"/>
      <c r="M938"/>
      <c r="N938"/>
      <c r="O938"/>
      <c r="P938"/>
    </row>
    <row r="939" spans="1:16" s="1" customFormat="1" x14ac:dyDescent="0.25">
      <c r="A939" s="26"/>
      <c r="B939" s="26"/>
      <c r="C939" s="30"/>
      <c r="D939" s="35" t="s">
        <v>53</v>
      </c>
      <c r="E939" s="36">
        <v>3</v>
      </c>
      <c r="F939" s="98">
        <v>80</v>
      </c>
      <c r="G939" s="35">
        <v>78</v>
      </c>
      <c r="H939" s="40">
        <v>35.4</v>
      </c>
      <c r="I939" s="38" t="s">
        <v>1037</v>
      </c>
      <c r="J939" s="34">
        <f>IFERROR(_xlfn.XLOOKUP(I939,Index!$A:$A,Index!$B:$B),"")</f>
        <v>4771</v>
      </c>
      <c r="K939"/>
      <c r="L939"/>
      <c r="M939"/>
      <c r="N939"/>
      <c r="O939"/>
      <c r="P939"/>
    </row>
    <row r="940" spans="1:16" s="1" customFormat="1" x14ac:dyDescent="0.25">
      <c r="A940" s="26"/>
      <c r="B940" s="26"/>
      <c r="C940" s="30"/>
      <c r="D940" s="35" t="s">
        <v>55</v>
      </c>
      <c r="E940" s="36">
        <v>3</v>
      </c>
      <c r="F940" s="98">
        <v>80</v>
      </c>
      <c r="G940" s="35">
        <v>78</v>
      </c>
      <c r="H940" s="40">
        <v>35.4</v>
      </c>
      <c r="I940" s="38" t="s">
        <v>1038</v>
      </c>
      <c r="J940" s="34">
        <f>IFERROR(_xlfn.XLOOKUP(I940,Index!$A:$A,Index!$B:$B),"")</f>
        <v>4771</v>
      </c>
      <c r="K940"/>
      <c r="L940"/>
      <c r="M940"/>
      <c r="N940"/>
      <c r="O940"/>
      <c r="P940"/>
    </row>
    <row r="941" spans="1:16" s="1" customFormat="1" x14ac:dyDescent="0.25">
      <c r="A941" s="26"/>
      <c r="B941" s="26"/>
      <c r="C941" s="30"/>
      <c r="D941" s="35" t="s">
        <v>176</v>
      </c>
      <c r="E941" s="36">
        <v>4</v>
      </c>
      <c r="F941" s="98">
        <v>100</v>
      </c>
      <c r="G941" s="35">
        <v>160</v>
      </c>
      <c r="H941" s="40">
        <v>72.599999999999994</v>
      </c>
      <c r="I941" s="38" t="s">
        <v>1039</v>
      </c>
      <c r="J941" s="34">
        <f>IFERROR(_xlfn.XLOOKUP(I941,Index!$A:$A,Index!$B:$B),"")</f>
        <v>8129</v>
      </c>
      <c r="K941"/>
      <c r="L941"/>
      <c r="M941"/>
      <c r="N941"/>
      <c r="O941"/>
      <c r="P941"/>
    </row>
    <row r="942" spans="1:16" s="1" customFormat="1" x14ac:dyDescent="0.25">
      <c r="A942" s="26"/>
      <c r="B942" s="26"/>
      <c r="C942" s="30"/>
      <c r="D942" s="35" t="s">
        <v>53</v>
      </c>
      <c r="E942" s="36">
        <v>4</v>
      </c>
      <c r="F942" s="98">
        <v>100</v>
      </c>
      <c r="G942" s="35">
        <v>160</v>
      </c>
      <c r="H942" s="40">
        <v>72.599999999999994</v>
      </c>
      <c r="I942" s="38" t="s">
        <v>2989</v>
      </c>
      <c r="J942" s="34">
        <f>IFERROR(_xlfn.XLOOKUP(I942,Index!$A:$A,Index!$B:$B),"")</f>
        <v>8536</v>
      </c>
      <c r="K942"/>
      <c r="L942"/>
      <c r="M942"/>
      <c r="N942"/>
      <c r="O942"/>
      <c r="P942"/>
    </row>
    <row r="943" spans="1:16" s="1" customFormat="1" x14ac:dyDescent="0.25">
      <c r="A943" s="26"/>
      <c r="B943" s="26"/>
      <c r="C943" s="30"/>
      <c r="D943" s="35" t="s">
        <v>55</v>
      </c>
      <c r="E943" s="36">
        <v>4</v>
      </c>
      <c r="F943" s="98">
        <v>100</v>
      </c>
      <c r="G943" s="35">
        <v>160</v>
      </c>
      <c r="H943" s="40">
        <v>72.599999999999994</v>
      </c>
      <c r="I943" s="38" t="s">
        <v>1040</v>
      </c>
      <c r="J943" s="34">
        <f>IFERROR(_xlfn.XLOOKUP(I943,Index!$A:$A,Index!$B:$B),"")</f>
        <v>8536</v>
      </c>
      <c r="K943"/>
      <c r="L943"/>
      <c r="M943"/>
      <c r="N943"/>
      <c r="O943"/>
      <c r="P943"/>
    </row>
    <row r="944" spans="1:16" s="1" customFormat="1" x14ac:dyDescent="0.25">
      <c r="A944" s="26"/>
      <c r="B944" s="26"/>
      <c r="C944" s="30"/>
      <c r="D944" s="35" t="s">
        <v>241</v>
      </c>
      <c r="E944" s="36">
        <v>6</v>
      </c>
      <c r="F944" s="98">
        <v>150</v>
      </c>
      <c r="G944" s="35">
        <v>364</v>
      </c>
      <c r="H944" s="40">
        <v>165.1</v>
      </c>
      <c r="I944" s="38" t="s">
        <v>1041</v>
      </c>
      <c r="J944" s="318">
        <f>IFERROR(_xlfn.XLOOKUP(I944,Index!$A:$A,Index!$B:$B),"")</f>
        <v>16173</v>
      </c>
      <c r="K944" s="319"/>
      <c r="L944"/>
      <c r="M944"/>
      <c r="N944"/>
      <c r="O944"/>
      <c r="P944"/>
    </row>
    <row r="945" spans="1:16" s="1" customFormat="1" x14ac:dyDescent="0.25">
      <c r="A945" s="26"/>
      <c r="B945" s="26"/>
      <c r="C945" s="30"/>
      <c r="D945" s="35" t="s">
        <v>53</v>
      </c>
      <c r="E945" s="36">
        <v>6</v>
      </c>
      <c r="F945" s="98">
        <v>150</v>
      </c>
      <c r="G945" s="35">
        <v>364</v>
      </c>
      <c r="H945" s="40">
        <v>165.1</v>
      </c>
      <c r="I945" s="38" t="s">
        <v>1042</v>
      </c>
      <c r="J945" s="34">
        <f>IFERROR(_xlfn.XLOOKUP(I945,Index!$A:$A,Index!$B:$B),"")</f>
        <v>16982</v>
      </c>
      <c r="K945"/>
      <c r="L945"/>
      <c r="M945"/>
      <c r="N945"/>
      <c r="O945"/>
      <c r="P945"/>
    </row>
    <row r="946" spans="1:16" s="1" customFormat="1" x14ac:dyDescent="0.25">
      <c r="A946" s="26"/>
      <c r="B946" s="26"/>
      <c r="C946" s="30"/>
      <c r="D946" s="35" t="s">
        <v>55</v>
      </c>
      <c r="E946" s="36">
        <v>6</v>
      </c>
      <c r="F946" s="98">
        <v>150</v>
      </c>
      <c r="G946" s="35">
        <v>364</v>
      </c>
      <c r="H946" s="40">
        <v>165.1</v>
      </c>
      <c r="I946" s="38" t="s">
        <v>1043</v>
      </c>
      <c r="J946" s="34">
        <f>IFERROR(_xlfn.XLOOKUP(I946,Index!$A:$A,Index!$B:$B),"")</f>
        <v>16982</v>
      </c>
      <c r="K946"/>
      <c r="L946"/>
      <c r="M946"/>
      <c r="N946"/>
      <c r="O946"/>
      <c r="P946"/>
    </row>
    <row r="947" spans="1:16" s="1" customFormat="1" x14ac:dyDescent="0.25">
      <c r="A947" s="26"/>
      <c r="B947" s="26"/>
      <c r="C947" s="30"/>
      <c r="D947" s="35" t="s">
        <v>241</v>
      </c>
      <c r="E947" s="36">
        <v>8</v>
      </c>
      <c r="F947" s="98">
        <v>200</v>
      </c>
      <c r="G947" s="35">
        <v>670</v>
      </c>
      <c r="H947" s="40">
        <v>303.89999999999998</v>
      </c>
      <c r="I947" s="38" t="s">
        <v>1045</v>
      </c>
      <c r="J947" s="34">
        <f>IFERROR(_xlfn.XLOOKUP(I947,Index!$A:$A,Index!$B:$B),"")</f>
        <v>16173</v>
      </c>
      <c r="K947"/>
      <c r="L947"/>
      <c r="M947"/>
      <c r="N947"/>
      <c r="O947"/>
      <c r="P947"/>
    </row>
    <row r="948" spans="1:16" s="1" customFormat="1" x14ac:dyDescent="0.25">
      <c r="A948" s="26"/>
      <c r="B948" s="26"/>
      <c r="C948" s="30"/>
      <c r="D948" s="35" t="s">
        <v>53</v>
      </c>
      <c r="E948" s="36">
        <v>8</v>
      </c>
      <c r="F948" s="98">
        <v>200</v>
      </c>
      <c r="G948" s="35">
        <v>670</v>
      </c>
      <c r="H948" s="40">
        <v>303.89999999999998</v>
      </c>
      <c r="I948" s="38" t="s">
        <v>1044</v>
      </c>
      <c r="J948" s="34">
        <f>IFERROR(_xlfn.XLOOKUP(I948,Index!$A:$A,Index!$B:$B),"")</f>
        <v>26547</v>
      </c>
      <c r="K948"/>
      <c r="L948"/>
      <c r="M948"/>
      <c r="N948"/>
      <c r="O948"/>
      <c r="P948"/>
    </row>
    <row r="949" spans="1:16" s="1" customFormat="1" x14ac:dyDescent="0.25">
      <c r="A949" s="26"/>
      <c r="B949" s="26"/>
      <c r="C949" s="30"/>
      <c r="D949" s="35" t="s">
        <v>55</v>
      </c>
      <c r="E949" s="36">
        <v>8</v>
      </c>
      <c r="F949" s="98">
        <v>200</v>
      </c>
      <c r="G949" s="35">
        <v>670</v>
      </c>
      <c r="H949" s="40">
        <v>303.89999999999998</v>
      </c>
      <c r="I949" s="268" t="s">
        <v>5542</v>
      </c>
      <c r="J949" s="34">
        <f>J948</f>
        <v>26547</v>
      </c>
      <c r="K949"/>
      <c r="L949"/>
      <c r="M949"/>
      <c r="N949"/>
      <c r="O949"/>
      <c r="P949"/>
    </row>
    <row r="950" spans="1:16" s="1" customFormat="1" x14ac:dyDescent="0.25">
      <c r="A950" s="26"/>
      <c r="B950" s="26"/>
      <c r="C950" s="30"/>
      <c r="D950" s="35" t="s">
        <v>241</v>
      </c>
      <c r="E950" s="36">
        <v>10</v>
      </c>
      <c r="F950" s="98">
        <v>250</v>
      </c>
      <c r="G950" s="35">
        <v>1090</v>
      </c>
      <c r="H950" s="40">
        <v>494.4</v>
      </c>
      <c r="I950" s="38" t="s">
        <v>6220</v>
      </c>
      <c r="J950" s="34">
        <f>IFERROR(_xlfn.XLOOKUP(I950,Index!$A:$A,Index!$B:$B),"")</f>
        <v>41739</v>
      </c>
      <c r="K950"/>
      <c r="L950"/>
      <c r="M950"/>
      <c r="N950"/>
      <c r="O950"/>
      <c r="P950"/>
    </row>
    <row r="951" spans="1:16" s="1" customFormat="1" x14ac:dyDescent="0.25">
      <c r="A951" s="26"/>
      <c r="B951" s="26"/>
      <c r="C951" s="30"/>
      <c r="D951" s="35" t="s">
        <v>53</v>
      </c>
      <c r="E951" s="36">
        <v>10</v>
      </c>
      <c r="F951" s="98">
        <v>250</v>
      </c>
      <c r="G951" s="35">
        <v>1090</v>
      </c>
      <c r="H951" s="40">
        <v>494.4</v>
      </c>
      <c r="I951" s="268" t="s">
        <v>5542</v>
      </c>
      <c r="J951" s="34">
        <f>J950+1639</f>
        <v>43378</v>
      </c>
      <c r="K951"/>
      <c r="L951"/>
      <c r="M951"/>
      <c r="N951"/>
      <c r="O951"/>
      <c r="P951"/>
    </row>
    <row r="952" spans="1:16" s="1" customFormat="1" x14ac:dyDescent="0.25">
      <c r="A952" s="27"/>
      <c r="B952" s="27"/>
      <c r="C952" s="31"/>
      <c r="D952" s="35" t="s">
        <v>55</v>
      </c>
      <c r="E952" s="36">
        <v>10</v>
      </c>
      <c r="F952" s="98">
        <v>250</v>
      </c>
      <c r="G952" s="35">
        <v>1090</v>
      </c>
      <c r="H952" s="40">
        <v>494.4</v>
      </c>
      <c r="I952" s="268" t="s">
        <v>5542</v>
      </c>
      <c r="J952" s="34">
        <f>J951</f>
        <v>43378</v>
      </c>
      <c r="K952"/>
      <c r="L952"/>
      <c r="M952"/>
      <c r="N952"/>
      <c r="O952"/>
      <c r="P952"/>
    </row>
  </sheetData>
  <mergeCells count="36">
    <mergeCell ref="C485:D485"/>
    <mergeCell ref="C332:D332"/>
    <mergeCell ref="E332:F332"/>
    <mergeCell ref="G332:H332"/>
    <mergeCell ref="C344:D344"/>
    <mergeCell ref="C425:D425"/>
    <mergeCell ref="E425:F425"/>
    <mergeCell ref="G425:H425"/>
    <mergeCell ref="C208:D208"/>
    <mergeCell ref="E208:F208"/>
    <mergeCell ref="G208:H208"/>
    <mergeCell ref="C321:D321"/>
    <mergeCell ref="E321:F321"/>
    <mergeCell ref="G321:H321"/>
    <mergeCell ref="C221:D221"/>
    <mergeCell ref="E221:F221"/>
    <mergeCell ref="G221:H221"/>
    <mergeCell ref="C247:D247"/>
    <mergeCell ref="E247:F247"/>
    <mergeCell ref="G247:H247"/>
    <mergeCell ref="C699:D699"/>
    <mergeCell ref="E699:F699"/>
    <mergeCell ref="G699:H699"/>
    <mergeCell ref="C758:D758"/>
    <mergeCell ref="C34:D34"/>
    <mergeCell ref="E34:F34"/>
    <mergeCell ref="G34:H34"/>
    <mergeCell ref="C48:D48"/>
    <mergeCell ref="C133:D133"/>
    <mergeCell ref="E133:F133"/>
    <mergeCell ref="G133:H133"/>
    <mergeCell ref="C147:D147"/>
    <mergeCell ref="C234:D234"/>
    <mergeCell ref="E234:F234"/>
    <mergeCell ref="G234:H234"/>
    <mergeCell ref="C260:D260"/>
  </mergeCells>
  <conditionalFormatting sqref="D49 D345:D365 F366:F424 F640:F698 F700:F757 F913:F952">
    <cfRule type="expression" dxfId="1264" priority="271">
      <formula>D49="Not a valid item #"</formula>
    </cfRule>
    <cfRule type="expression" dxfId="1263" priority="272">
      <formula>D49="Not in NPSLS"</formula>
    </cfRule>
    <cfRule type="expression" dxfId="1262" priority="273">
      <formula>D49="Obsolete"</formula>
    </cfRule>
    <cfRule type="expression" dxfId="1261" priority="274">
      <formula>D49=""</formula>
    </cfRule>
    <cfRule type="expression" dxfId="1260" priority="275">
      <formula>D49="List Price"</formula>
    </cfRule>
  </conditionalFormatting>
  <conditionalFormatting sqref="D51:D57">
    <cfRule type="expression" dxfId="1259" priority="266">
      <formula>D51="Not a valid item #"</formula>
    </cfRule>
    <cfRule type="expression" dxfId="1258" priority="267">
      <formula>D51="Not in NPSLS"</formula>
    </cfRule>
    <cfRule type="expression" dxfId="1257" priority="268">
      <formula>D51="Obsolete"</formula>
    </cfRule>
    <cfRule type="expression" dxfId="1256" priority="269">
      <formula>D51=""</formula>
    </cfRule>
    <cfRule type="expression" dxfId="1255" priority="270">
      <formula>D51="List Price"</formula>
    </cfRule>
  </conditionalFormatting>
  <conditionalFormatting sqref="D59:D65">
    <cfRule type="expression" dxfId="1254" priority="261">
      <formula>D59="Not a valid item #"</formula>
    </cfRule>
    <cfRule type="expression" dxfId="1253" priority="262">
      <formula>D59="Not in NPSLS"</formula>
    </cfRule>
    <cfRule type="expression" dxfId="1252" priority="263">
      <formula>D59="Obsolete"</formula>
    </cfRule>
    <cfRule type="expression" dxfId="1251" priority="264">
      <formula>D59=""</formula>
    </cfRule>
    <cfRule type="expression" dxfId="1250" priority="265">
      <formula>D59="List Price"</formula>
    </cfRule>
  </conditionalFormatting>
  <conditionalFormatting sqref="D67:D73">
    <cfRule type="expression" dxfId="1249" priority="256">
      <formula>D67="Not a valid item #"</formula>
    </cfRule>
    <cfRule type="expression" dxfId="1248" priority="257">
      <formula>D67="Not in NPSLS"</formula>
    </cfRule>
    <cfRule type="expression" dxfId="1247" priority="258">
      <formula>D67="Obsolete"</formula>
    </cfRule>
    <cfRule type="expression" dxfId="1246" priority="259">
      <formula>D67=""</formula>
    </cfRule>
    <cfRule type="expression" dxfId="1245" priority="260">
      <formula>D67="List Price"</formula>
    </cfRule>
  </conditionalFormatting>
  <conditionalFormatting sqref="D75:D81">
    <cfRule type="expression" dxfId="1244" priority="251">
      <formula>D75="Not a valid item #"</formula>
    </cfRule>
    <cfRule type="expression" dxfId="1243" priority="252">
      <formula>D75="Not in NPSLS"</formula>
    </cfRule>
    <cfRule type="expression" dxfId="1242" priority="253">
      <formula>D75="Obsolete"</formula>
    </cfRule>
    <cfRule type="expression" dxfId="1241" priority="254">
      <formula>D75=""</formula>
    </cfRule>
    <cfRule type="expression" dxfId="1240" priority="255">
      <formula>D75="List Price"</formula>
    </cfRule>
  </conditionalFormatting>
  <conditionalFormatting sqref="D83:D89">
    <cfRule type="expression" dxfId="1239" priority="246">
      <formula>D83="Not a valid item #"</formula>
    </cfRule>
    <cfRule type="expression" dxfId="1238" priority="247">
      <formula>D83="Not in NPSLS"</formula>
    </cfRule>
    <cfRule type="expression" dxfId="1237" priority="248">
      <formula>D83="Obsolete"</formula>
    </cfRule>
    <cfRule type="expression" dxfId="1236" priority="249">
      <formula>D83=""</formula>
    </cfRule>
    <cfRule type="expression" dxfId="1235" priority="250">
      <formula>D83="List Price"</formula>
    </cfRule>
  </conditionalFormatting>
  <conditionalFormatting sqref="D91:D97 D190:D196">
    <cfRule type="expression" dxfId="1234" priority="241">
      <formula>D91="Not a valid item #"</formula>
    </cfRule>
    <cfRule type="expression" dxfId="1233" priority="242">
      <formula>D91="Not in NPSLS"</formula>
    </cfRule>
    <cfRule type="expression" dxfId="1232" priority="243">
      <formula>D91="Obsolete"</formula>
    </cfRule>
    <cfRule type="expression" dxfId="1231" priority="244">
      <formula>D91=""</formula>
    </cfRule>
    <cfRule type="expression" dxfId="1230" priority="245">
      <formula>D91="List Price"</formula>
    </cfRule>
  </conditionalFormatting>
  <conditionalFormatting sqref="D99:D105">
    <cfRule type="expression" dxfId="1229" priority="146">
      <formula>D99="Not a valid item #"</formula>
    </cfRule>
    <cfRule type="expression" dxfId="1228" priority="147">
      <formula>D99="Not in NPSLS"</formula>
    </cfRule>
    <cfRule type="expression" dxfId="1227" priority="148">
      <formula>D99="Obsolete"</formula>
    </cfRule>
    <cfRule type="expression" dxfId="1226" priority="149">
      <formula>D99=""</formula>
    </cfRule>
    <cfRule type="expression" dxfId="1225" priority="150">
      <formula>D99="List Price"</formula>
    </cfRule>
  </conditionalFormatting>
  <conditionalFormatting sqref="D148">
    <cfRule type="expression" dxfId="1224" priority="231">
      <formula>D148="Not a valid item #"</formula>
    </cfRule>
    <cfRule type="expression" dxfId="1223" priority="232">
      <formula>D148="Not in NPSLS"</formula>
    </cfRule>
    <cfRule type="expression" dxfId="1222" priority="233">
      <formula>D148="Obsolete"</formula>
    </cfRule>
    <cfRule type="expression" dxfId="1221" priority="234">
      <formula>D148=""</formula>
    </cfRule>
    <cfRule type="expression" dxfId="1220" priority="235">
      <formula>D148="List Price"</formula>
    </cfRule>
  </conditionalFormatting>
  <conditionalFormatting sqref="D150:D156">
    <cfRule type="expression" dxfId="1219" priority="226">
      <formula>D150="Not a valid item #"</formula>
    </cfRule>
    <cfRule type="expression" dxfId="1218" priority="227">
      <formula>D150="Not in NPSLS"</formula>
    </cfRule>
    <cfRule type="expression" dxfId="1217" priority="228">
      <formula>D150="Obsolete"</formula>
    </cfRule>
    <cfRule type="expression" dxfId="1216" priority="229">
      <formula>D150=""</formula>
    </cfRule>
    <cfRule type="expression" dxfId="1215" priority="230">
      <formula>D150="List Price"</formula>
    </cfRule>
  </conditionalFormatting>
  <conditionalFormatting sqref="D158:D164">
    <cfRule type="expression" dxfId="1214" priority="221">
      <formula>D158="Not a valid item #"</formula>
    </cfRule>
    <cfRule type="expression" dxfId="1213" priority="222">
      <formula>D158="Not in NPSLS"</formula>
    </cfRule>
    <cfRule type="expression" dxfId="1212" priority="223">
      <formula>D158="Obsolete"</formula>
    </cfRule>
    <cfRule type="expression" dxfId="1211" priority="224">
      <formula>D158=""</formula>
    </cfRule>
    <cfRule type="expression" dxfId="1210" priority="225">
      <formula>D158="List Price"</formula>
    </cfRule>
  </conditionalFormatting>
  <conditionalFormatting sqref="D166:D172">
    <cfRule type="expression" dxfId="1209" priority="216">
      <formula>D166="Not a valid item #"</formula>
    </cfRule>
    <cfRule type="expression" dxfId="1208" priority="217">
      <formula>D166="Not in NPSLS"</formula>
    </cfRule>
    <cfRule type="expression" dxfId="1207" priority="218">
      <formula>D166="Obsolete"</formula>
    </cfRule>
    <cfRule type="expression" dxfId="1206" priority="219">
      <formula>D166=""</formula>
    </cfRule>
    <cfRule type="expression" dxfId="1205" priority="220">
      <formula>D166="List Price"</formula>
    </cfRule>
  </conditionalFormatting>
  <conditionalFormatting sqref="D174:D180">
    <cfRule type="expression" dxfId="1204" priority="211">
      <formula>D174="Not a valid item #"</formula>
    </cfRule>
    <cfRule type="expression" dxfId="1203" priority="212">
      <formula>D174="Not in NPSLS"</formula>
    </cfRule>
    <cfRule type="expression" dxfId="1202" priority="213">
      <formula>D174="Obsolete"</formula>
    </cfRule>
    <cfRule type="expression" dxfId="1201" priority="214">
      <formula>D174=""</formula>
    </cfRule>
    <cfRule type="expression" dxfId="1200" priority="215">
      <formula>D174="List Price"</formula>
    </cfRule>
  </conditionalFormatting>
  <conditionalFormatting sqref="D182:D188">
    <cfRule type="expression" dxfId="1199" priority="206">
      <formula>D182="Not a valid item #"</formula>
    </cfRule>
    <cfRule type="expression" dxfId="1198" priority="207">
      <formula>D182="Not in NPSLS"</formula>
    </cfRule>
    <cfRule type="expression" dxfId="1197" priority="208">
      <formula>D182="Obsolete"</formula>
    </cfRule>
    <cfRule type="expression" dxfId="1196" priority="209">
      <formula>D182=""</formula>
    </cfRule>
    <cfRule type="expression" dxfId="1195" priority="210">
      <formula>D182="List Price"</formula>
    </cfRule>
  </conditionalFormatting>
  <conditionalFormatting sqref="D198:D204">
    <cfRule type="expression" dxfId="1194" priority="151">
      <formula>D198="Not a valid item #"</formula>
    </cfRule>
    <cfRule type="expression" dxfId="1193" priority="152">
      <formula>D198="Not in NPSLS"</formula>
    </cfRule>
    <cfRule type="expression" dxfId="1192" priority="153">
      <formula>D198="Obsolete"</formula>
    </cfRule>
    <cfRule type="expression" dxfId="1191" priority="154">
      <formula>D198=""</formula>
    </cfRule>
    <cfRule type="expression" dxfId="1190" priority="155">
      <formula>D198="List Price"</formula>
    </cfRule>
  </conditionalFormatting>
  <conditionalFormatting sqref="D261">
    <cfRule type="expression" dxfId="1189" priority="191">
      <formula>D261="Not a valid item #"</formula>
    </cfRule>
    <cfRule type="expression" dxfId="1188" priority="192">
      <formula>D261="Not in NPSLS"</formula>
    </cfRule>
    <cfRule type="expression" dxfId="1187" priority="193">
      <formula>D261="Obsolete"</formula>
    </cfRule>
    <cfRule type="expression" dxfId="1186" priority="194">
      <formula>D261=""</formula>
    </cfRule>
    <cfRule type="expression" dxfId="1185" priority="195">
      <formula>D261="List Price"</formula>
    </cfRule>
  </conditionalFormatting>
  <conditionalFormatting sqref="D263:D269">
    <cfRule type="expression" dxfId="1184" priority="186">
      <formula>D263="Not a valid item #"</formula>
    </cfRule>
    <cfRule type="expression" dxfId="1183" priority="187">
      <formula>D263="Not in NPSLS"</formula>
    </cfRule>
    <cfRule type="expression" dxfId="1182" priority="188">
      <formula>D263="Obsolete"</formula>
    </cfRule>
    <cfRule type="expression" dxfId="1181" priority="189">
      <formula>D263=""</formula>
    </cfRule>
    <cfRule type="expression" dxfId="1180" priority="190">
      <formula>D263="List Price"</formula>
    </cfRule>
  </conditionalFormatting>
  <conditionalFormatting sqref="D271:D277">
    <cfRule type="expression" dxfId="1179" priority="181">
      <formula>D271="Not a valid item #"</formula>
    </cfRule>
    <cfRule type="expression" dxfId="1178" priority="182">
      <formula>D271="Not in NPSLS"</formula>
    </cfRule>
    <cfRule type="expression" dxfId="1177" priority="183">
      <formula>D271="Obsolete"</formula>
    </cfRule>
    <cfRule type="expression" dxfId="1176" priority="184">
      <formula>D271=""</formula>
    </cfRule>
    <cfRule type="expression" dxfId="1175" priority="185">
      <formula>D271="List Price"</formula>
    </cfRule>
  </conditionalFormatting>
  <conditionalFormatting sqref="D279:D285">
    <cfRule type="expression" dxfId="1174" priority="176">
      <formula>D279="Not a valid item #"</formula>
    </cfRule>
    <cfRule type="expression" dxfId="1173" priority="177">
      <formula>D279="Not in NPSLS"</formula>
    </cfRule>
    <cfRule type="expression" dxfId="1172" priority="178">
      <formula>D279="Obsolete"</formula>
    </cfRule>
    <cfRule type="expression" dxfId="1171" priority="179">
      <formula>D279=""</formula>
    </cfRule>
    <cfRule type="expression" dxfId="1170" priority="180">
      <formula>D279="List Price"</formula>
    </cfRule>
  </conditionalFormatting>
  <conditionalFormatting sqref="D287:D293">
    <cfRule type="expression" dxfId="1169" priority="171">
      <formula>D287="Not a valid item #"</formula>
    </cfRule>
    <cfRule type="expression" dxfId="1168" priority="172">
      <formula>D287="Not in NPSLS"</formula>
    </cfRule>
    <cfRule type="expression" dxfId="1167" priority="173">
      <formula>D287="Obsolete"</formula>
    </cfRule>
    <cfRule type="expression" dxfId="1166" priority="174">
      <formula>D287=""</formula>
    </cfRule>
    <cfRule type="expression" dxfId="1165" priority="175">
      <formula>D287="List Price"</formula>
    </cfRule>
  </conditionalFormatting>
  <conditionalFormatting sqref="D295:D301">
    <cfRule type="expression" dxfId="1164" priority="166">
      <formula>D295="Not a valid item #"</formula>
    </cfRule>
    <cfRule type="expression" dxfId="1163" priority="167">
      <formula>D295="Not in NPSLS"</formula>
    </cfRule>
    <cfRule type="expression" dxfId="1162" priority="168">
      <formula>D295="Obsolete"</formula>
    </cfRule>
    <cfRule type="expression" dxfId="1161" priority="169">
      <formula>D295=""</formula>
    </cfRule>
    <cfRule type="expression" dxfId="1160" priority="170">
      <formula>D295="List Price"</formula>
    </cfRule>
  </conditionalFormatting>
  <conditionalFormatting sqref="D303:D309">
    <cfRule type="expression" dxfId="1159" priority="201">
      <formula>D303="Not a valid item #"</formula>
    </cfRule>
    <cfRule type="expression" dxfId="1158" priority="202">
      <formula>D303="Not in NPSLS"</formula>
    </cfRule>
    <cfRule type="expression" dxfId="1157" priority="203">
      <formula>D303="Obsolete"</formula>
    </cfRule>
    <cfRule type="expression" dxfId="1156" priority="204">
      <formula>D303=""</formula>
    </cfRule>
    <cfRule type="expression" dxfId="1155" priority="205">
      <formula>D303="List Price"</formula>
    </cfRule>
  </conditionalFormatting>
  <conditionalFormatting sqref="D311:D317">
    <cfRule type="expression" dxfId="1154" priority="156">
      <formula>D311="Not a valid item #"</formula>
    </cfRule>
    <cfRule type="expression" dxfId="1153" priority="157">
      <formula>D311="Not in NPSLS"</formula>
    </cfRule>
    <cfRule type="expression" dxfId="1152" priority="158">
      <formula>D311="Obsolete"</formula>
    </cfRule>
    <cfRule type="expression" dxfId="1151" priority="159">
      <formula>D311=""</formula>
    </cfRule>
    <cfRule type="expression" dxfId="1150" priority="160">
      <formula>D311="List Price"</formula>
    </cfRule>
  </conditionalFormatting>
  <conditionalFormatting sqref="D486">
    <cfRule type="expression" dxfId="1149" priority="16">
      <formula>D486="Not a valid item #"</formula>
    </cfRule>
    <cfRule type="expression" dxfId="1148" priority="17">
      <formula>D486="Not in NPSLS"</formula>
    </cfRule>
    <cfRule type="expression" dxfId="1147" priority="18">
      <formula>D486="Obsolete"</formula>
    </cfRule>
    <cfRule type="expression" dxfId="1146" priority="19">
      <formula>D486=""</formula>
    </cfRule>
    <cfRule type="expression" dxfId="1145" priority="20">
      <formula>D486="List Price"</formula>
    </cfRule>
  </conditionalFormatting>
  <conditionalFormatting sqref="D759">
    <cfRule type="expression" dxfId="1144" priority="36">
      <formula>D759="Not a valid item #"</formula>
    </cfRule>
    <cfRule type="expression" dxfId="1143" priority="37">
      <formula>D759="Not in NPSLS"</formula>
    </cfRule>
    <cfRule type="expression" dxfId="1142" priority="38">
      <formula>D759="Obsolete"</formula>
    </cfRule>
    <cfRule type="expression" dxfId="1141" priority="39">
      <formula>D759=""</formula>
    </cfRule>
    <cfRule type="expression" dxfId="1140" priority="40">
      <formula>D759="List Price"</formula>
    </cfRule>
  </conditionalFormatting>
  <conditionalFormatting sqref="F2:F5 F9:F33 F35 F37:F47">
    <cfRule type="expression" dxfId="1139" priority="276">
      <formula>F2="Not a valid item #"</formula>
    </cfRule>
    <cfRule type="expression" dxfId="1138" priority="277">
      <formula>F2="Not in NPSLS"</formula>
    </cfRule>
    <cfRule type="expression" dxfId="1137" priority="278">
      <formula>F2="Obsolete"</formula>
    </cfRule>
    <cfRule type="expression" dxfId="1136" priority="279">
      <formula>F2=""</formula>
    </cfRule>
    <cfRule type="expression" dxfId="1135" priority="280">
      <formula>F2="List Price"</formula>
    </cfRule>
  </conditionalFormatting>
  <conditionalFormatting sqref="F107:F132 F134 F136:F146">
    <cfRule type="expression" dxfId="1134" priority="236">
      <formula>F107="Not a valid item #"</formula>
    </cfRule>
    <cfRule type="expression" dxfId="1133" priority="237">
      <formula>F107="Not in NPSLS"</formula>
    </cfRule>
    <cfRule type="expression" dxfId="1132" priority="238">
      <formula>F107="Obsolete"</formula>
    </cfRule>
    <cfRule type="expression" dxfId="1131" priority="239">
      <formula>F107=""</formula>
    </cfRule>
    <cfRule type="expression" dxfId="1130" priority="240">
      <formula>F107="List Price"</formula>
    </cfRule>
  </conditionalFormatting>
  <conditionalFormatting sqref="F206:F207 F235">
    <cfRule type="expression" dxfId="1129" priority="196">
      <formula>F206="Not a valid item #"</formula>
    </cfRule>
    <cfRule type="expression" dxfId="1128" priority="197">
      <formula>F206="Not in NPSLS"</formula>
    </cfRule>
    <cfRule type="expression" dxfId="1127" priority="198">
      <formula>F206="Obsolete"</formula>
    </cfRule>
    <cfRule type="expression" dxfId="1126" priority="199">
      <formula>F206=""</formula>
    </cfRule>
    <cfRule type="expression" dxfId="1125" priority="200">
      <formula>F206="List Price"</formula>
    </cfRule>
  </conditionalFormatting>
  <conditionalFormatting sqref="F209 F222:F233">
    <cfRule type="expression" dxfId="1124" priority="161">
      <formula>F209="Not a valid item #"</formula>
    </cfRule>
    <cfRule type="expression" dxfId="1123" priority="162">
      <formula>F209="Not in NPSLS"</formula>
    </cfRule>
    <cfRule type="expression" dxfId="1122" priority="163">
      <formula>F209="Obsolete"</formula>
    </cfRule>
    <cfRule type="expression" dxfId="1121" priority="164">
      <formula>F209=""</formula>
    </cfRule>
    <cfRule type="expression" dxfId="1120" priority="165">
      <formula>F209="List Price"</formula>
    </cfRule>
  </conditionalFormatting>
  <conditionalFormatting sqref="F211:F220">
    <cfRule type="expression" dxfId="1119" priority="11">
      <formula>F211="Not a valid item #"</formula>
    </cfRule>
    <cfRule type="expression" dxfId="1118" priority="12">
      <formula>F211="Not in NPSLS"</formula>
    </cfRule>
    <cfRule type="expression" dxfId="1117" priority="13">
      <formula>F211="Obsolete"</formula>
    </cfRule>
    <cfRule type="expression" dxfId="1116" priority="14">
      <formula>F211=""</formula>
    </cfRule>
    <cfRule type="expression" dxfId="1115" priority="15">
      <formula>F211="List Price"</formula>
    </cfRule>
  </conditionalFormatting>
  <conditionalFormatting sqref="F237:F246">
    <cfRule type="expression" dxfId="1114" priority="1">
      <formula>F237="Not a valid item #"</formula>
    </cfRule>
    <cfRule type="expression" dxfId="1113" priority="2">
      <formula>F237="Not in NPSLS"</formula>
    </cfRule>
    <cfRule type="expression" dxfId="1112" priority="3">
      <formula>F237="Obsolete"</formula>
    </cfRule>
    <cfRule type="expression" dxfId="1111" priority="4">
      <formula>F237=""</formula>
    </cfRule>
    <cfRule type="expression" dxfId="1110" priority="5">
      <formula>F237="List Price"</formula>
    </cfRule>
  </conditionalFormatting>
  <conditionalFormatting sqref="F248:F259">
    <cfRule type="expression" dxfId="1109" priority="6">
      <formula>F248="Not a valid item #"</formula>
    </cfRule>
    <cfRule type="expression" dxfId="1108" priority="7">
      <formula>F248="Not in NPSLS"</formula>
    </cfRule>
    <cfRule type="expression" dxfId="1107" priority="8">
      <formula>F248="Obsolete"</formula>
    </cfRule>
    <cfRule type="expression" dxfId="1106" priority="9">
      <formula>F248=""</formula>
    </cfRule>
    <cfRule type="expression" dxfId="1105" priority="10">
      <formula>F248="List Price"</formula>
    </cfRule>
  </conditionalFormatting>
  <conditionalFormatting sqref="F319:F320 F333:F343">
    <cfRule type="expression" dxfId="1104" priority="131">
      <formula>F319="Not a valid item #"</formula>
    </cfRule>
    <cfRule type="expression" dxfId="1103" priority="132">
      <formula>F319="Not in NPSLS"</formula>
    </cfRule>
    <cfRule type="expression" dxfId="1102" priority="133">
      <formula>F319="Obsolete"</formula>
    </cfRule>
    <cfRule type="expression" dxfId="1101" priority="134">
      <formula>F319=""</formula>
    </cfRule>
    <cfRule type="expression" dxfId="1100" priority="135">
      <formula>F319="List Price"</formula>
    </cfRule>
  </conditionalFormatting>
  <conditionalFormatting sqref="F322:F331">
    <cfRule type="expression" dxfId="1099" priority="96">
      <formula>F322="Not a valid item #"</formula>
    </cfRule>
    <cfRule type="expression" dxfId="1098" priority="97">
      <formula>F322="Not in NPSLS"</formula>
    </cfRule>
    <cfRule type="expression" dxfId="1097" priority="98">
      <formula>F322="Obsolete"</formula>
    </cfRule>
    <cfRule type="expression" dxfId="1096" priority="99">
      <formula>F322=""</formula>
    </cfRule>
    <cfRule type="expression" dxfId="1095" priority="100">
      <formula>F322="List Price"</formula>
    </cfRule>
  </conditionalFormatting>
  <conditionalFormatting sqref="F426:F484">
    <cfRule type="expression" dxfId="1094" priority="21">
      <formula>F426="Not a valid item #"</formula>
    </cfRule>
    <cfRule type="expression" dxfId="1093" priority="22">
      <formula>F426="Not in NPSLS"</formula>
    </cfRule>
    <cfRule type="expression" dxfId="1092" priority="23">
      <formula>F426="Obsolete"</formula>
    </cfRule>
    <cfRule type="expression" dxfId="1091" priority="24">
      <formula>F426=""</formula>
    </cfRule>
    <cfRule type="expression" dxfId="1090" priority="25">
      <formula>F426="List Price"</formula>
    </cfRule>
  </conditionalFormatting>
  <hyperlinks>
    <hyperlink ref="A1" location="'Table of Contents'!A1" display="Return Home" xr:uid="{41C2C636-F6E8-455B-B960-8F5FF74CA85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369F-8EB7-4CD7-8282-1AA4CD99A1BF}">
  <sheetPr codeName="Sheet7"/>
  <dimension ref="A1:S985"/>
  <sheetViews>
    <sheetView showGridLines="0" zoomScale="80" zoomScaleNormal="80" workbookViewId="0"/>
  </sheetViews>
  <sheetFormatPr defaultRowHeight="15" x14ac:dyDescent="0.25"/>
  <cols>
    <col min="1" max="1" width="28.140625" customWidth="1"/>
    <col min="2" max="2" width="21.7109375" customWidth="1"/>
    <col min="3" max="3" width="12.28515625" customWidth="1"/>
    <col min="5" max="5" width="12.85546875" customWidth="1"/>
    <col min="6" max="6" width="13" customWidth="1"/>
    <col min="9" max="9" width="18" bestFit="1" customWidth="1"/>
    <col min="10" max="10" width="12.140625" customWidth="1"/>
    <col min="11" max="11" width="16.28515625" customWidth="1"/>
    <col min="12" max="12" width="12.85546875" customWidth="1"/>
    <col min="13" max="13" width="11.140625" bestFit="1" customWidth="1"/>
    <col min="19" max="19" width="9.85546875" bestFit="1" customWidth="1"/>
  </cols>
  <sheetData>
    <row r="1" spans="1:17" x14ac:dyDescent="0.25">
      <c r="A1" s="255" t="s">
        <v>5540</v>
      </c>
      <c r="K1" s="1"/>
      <c r="L1" s="1"/>
      <c r="M1" s="1"/>
      <c r="N1" s="1"/>
      <c r="O1" s="1"/>
      <c r="P1" s="1"/>
      <c r="Q1" s="1"/>
    </row>
    <row r="2" spans="1:17" ht="15.75" x14ac:dyDescent="0.25">
      <c r="A2" s="62" t="s">
        <v>1046</v>
      </c>
      <c r="B2" s="62" t="s">
        <v>650</v>
      </c>
      <c r="C2" s="14"/>
      <c r="D2" s="3"/>
      <c r="E2" s="8"/>
      <c r="F2" s="110"/>
      <c r="G2" s="111"/>
      <c r="H2" s="19"/>
      <c r="I2" s="19"/>
      <c r="J2" s="20"/>
      <c r="K2" s="1"/>
      <c r="L2" s="1"/>
      <c r="M2" s="1"/>
      <c r="N2" s="1"/>
      <c r="O2" s="1"/>
      <c r="P2" s="1"/>
      <c r="Q2" s="1"/>
    </row>
    <row r="3" spans="1:17" s="1" customFormat="1" ht="15.75" x14ac:dyDescent="0.2">
      <c r="A3" s="48" t="s">
        <v>1047</v>
      </c>
      <c r="B3" s="11"/>
      <c r="C3" s="4"/>
      <c r="D3" s="4"/>
      <c r="E3" s="5"/>
      <c r="F3" s="110"/>
      <c r="G3" s="4"/>
      <c r="H3" s="19"/>
      <c r="I3" s="19"/>
      <c r="J3" s="20"/>
    </row>
    <row r="4" spans="1:17" s="1" customFormat="1" ht="12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7" s="1" customFormat="1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7" s="1" customFormat="1" ht="12.75" customHeight="1" x14ac:dyDescent="0.2">
      <c r="A6" s="26" t="s">
        <v>1048</v>
      </c>
      <c r="B6" s="26" t="s">
        <v>49</v>
      </c>
      <c r="C6" s="30" t="s">
        <v>50</v>
      </c>
      <c r="D6" s="35" t="s">
        <v>508</v>
      </c>
      <c r="E6" s="70">
        <v>0.25</v>
      </c>
      <c r="F6" s="38">
        <v>8</v>
      </c>
      <c r="G6" s="38">
        <v>2</v>
      </c>
      <c r="H6" s="38">
        <v>0.9</v>
      </c>
      <c r="I6" s="38" t="s">
        <v>1049</v>
      </c>
      <c r="J6" s="34">
        <f>IFERROR(_xlfn.XLOOKUP(I6,Index!$A:$A,Index!$B:$B),"")</f>
        <v>271</v>
      </c>
    </row>
    <row r="7" spans="1:17" s="1" customFormat="1" ht="12.75" customHeight="1" x14ac:dyDescent="0.2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1050</v>
      </c>
      <c r="J7" s="34">
        <f>IFERROR(_xlfn.XLOOKUP(I7,Index!$A:$A,Index!$B:$B),"")</f>
        <v>285.5</v>
      </c>
    </row>
    <row r="8" spans="1:17" s="1" customFormat="1" ht="12" x14ac:dyDescent="0.2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1051</v>
      </c>
      <c r="J8" s="34">
        <f>IFERROR(_xlfn.XLOOKUP(I8,Index!$A:$A,Index!$B:$B),"")</f>
        <v>285.5</v>
      </c>
    </row>
    <row r="9" spans="1:17" s="1" customFormat="1" ht="12" x14ac:dyDescent="0.2">
      <c r="A9" s="26"/>
      <c r="B9" s="26"/>
      <c r="C9" s="30"/>
      <c r="D9" s="35" t="s">
        <v>508</v>
      </c>
      <c r="E9" s="64">
        <v>0.375</v>
      </c>
      <c r="F9" s="98">
        <v>10</v>
      </c>
      <c r="G9" s="35">
        <v>2</v>
      </c>
      <c r="H9" s="40">
        <v>0.9</v>
      </c>
      <c r="I9" s="38" t="s">
        <v>1052</v>
      </c>
      <c r="J9" s="34">
        <f>IFERROR(_xlfn.XLOOKUP(I9,Index!$A:$A,Index!$B:$B),"")</f>
        <v>271</v>
      </c>
    </row>
    <row r="10" spans="1:17" s="1" customFormat="1" ht="12.75" customHeight="1" x14ac:dyDescent="0.2">
      <c r="A10" s="26"/>
      <c r="B10" s="26"/>
      <c r="C10" s="30"/>
      <c r="D10" s="35" t="s">
        <v>53</v>
      </c>
      <c r="E10" s="64">
        <v>0.375</v>
      </c>
      <c r="F10" s="98">
        <v>10</v>
      </c>
      <c r="G10" s="35">
        <v>2</v>
      </c>
      <c r="H10" s="40">
        <v>0.9</v>
      </c>
      <c r="I10" s="38" t="s">
        <v>1053</v>
      </c>
      <c r="J10" s="34">
        <f>IFERROR(_xlfn.XLOOKUP(I10,Index!$A:$A,Index!$B:$B),"")</f>
        <v>285.5</v>
      </c>
    </row>
    <row r="11" spans="1:17" s="1" customFormat="1" ht="12.75" customHeight="1" x14ac:dyDescent="0.2">
      <c r="A11" s="26"/>
      <c r="B11" s="26"/>
      <c r="C11" s="30"/>
      <c r="D11" s="35" t="s">
        <v>55</v>
      </c>
      <c r="E11" s="64">
        <v>0.375</v>
      </c>
      <c r="F11" s="98">
        <v>10</v>
      </c>
      <c r="G11" s="35">
        <v>2</v>
      </c>
      <c r="H11" s="40">
        <v>0.9</v>
      </c>
      <c r="I11" s="38" t="s">
        <v>1054</v>
      </c>
      <c r="J11" s="34">
        <f>IFERROR(_xlfn.XLOOKUP(I11,Index!$A:$A,Index!$B:$B),"")</f>
        <v>285.5</v>
      </c>
    </row>
    <row r="12" spans="1:17" s="1" customFormat="1" ht="12.75" customHeight="1" x14ac:dyDescent="0.2">
      <c r="A12" s="26"/>
      <c r="B12" s="26"/>
      <c r="C12" s="30"/>
      <c r="D12" s="35" t="s">
        <v>508</v>
      </c>
      <c r="E12" s="64">
        <v>0.5</v>
      </c>
      <c r="F12" s="98">
        <v>15</v>
      </c>
      <c r="G12" s="35">
        <v>2</v>
      </c>
      <c r="H12" s="40">
        <v>0.9</v>
      </c>
      <c r="I12" s="38" t="s">
        <v>1055</v>
      </c>
      <c r="J12" s="34">
        <f>IFERROR(_xlfn.XLOOKUP(I12,Index!$A:$A,Index!$B:$B),"")</f>
        <v>285.5</v>
      </c>
    </row>
    <row r="13" spans="1:17" s="1" customFormat="1" ht="12.75" customHeight="1" x14ac:dyDescent="0.2">
      <c r="A13" s="26"/>
      <c r="B13" s="26"/>
      <c r="C13" s="30"/>
      <c r="D13" s="35" t="s">
        <v>53</v>
      </c>
      <c r="E13" s="64">
        <v>0.5</v>
      </c>
      <c r="F13" s="98">
        <v>15</v>
      </c>
      <c r="G13" s="35">
        <v>2</v>
      </c>
      <c r="H13" s="40">
        <v>0.9</v>
      </c>
      <c r="I13" s="38" t="s">
        <v>1056</v>
      </c>
      <c r="J13" s="34">
        <f>IFERROR(_xlfn.XLOOKUP(I13,Index!$A:$A,Index!$B:$B),"")</f>
        <v>299</v>
      </c>
    </row>
    <row r="14" spans="1:17" s="1" customFormat="1" ht="12.75" customHeight="1" x14ac:dyDescent="0.2">
      <c r="A14" s="26"/>
      <c r="B14" s="26"/>
      <c r="C14" s="30"/>
      <c r="D14" s="35" t="s">
        <v>55</v>
      </c>
      <c r="E14" s="64">
        <v>0.5</v>
      </c>
      <c r="F14" s="98">
        <v>15</v>
      </c>
      <c r="G14" s="35">
        <v>2</v>
      </c>
      <c r="H14" s="40">
        <v>0.9</v>
      </c>
      <c r="I14" s="38" t="s">
        <v>1057</v>
      </c>
      <c r="J14" s="34">
        <f>IFERROR(_xlfn.XLOOKUP(I14,Index!$A:$A,Index!$B:$B),"")</f>
        <v>299</v>
      </c>
    </row>
    <row r="15" spans="1:17" s="1" customFormat="1" ht="12.75" customHeight="1" x14ac:dyDescent="0.2">
      <c r="A15" s="26"/>
      <c r="B15" s="26"/>
      <c r="C15" s="30"/>
      <c r="D15" s="35" t="s">
        <v>508</v>
      </c>
      <c r="E15" s="64">
        <v>0.75</v>
      </c>
      <c r="F15" s="98">
        <v>20</v>
      </c>
      <c r="G15" s="35">
        <v>3</v>
      </c>
      <c r="H15" s="40">
        <v>1.4</v>
      </c>
      <c r="I15" s="38" t="s">
        <v>1058</v>
      </c>
      <c r="J15" s="34">
        <f>IFERROR(_xlfn.XLOOKUP(I15,Index!$A:$A,Index!$B:$B),"")</f>
        <v>349</v>
      </c>
    </row>
    <row r="16" spans="1:17" s="1" customFormat="1" ht="12.75" customHeight="1" x14ac:dyDescent="0.2">
      <c r="A16" s="26"/>
      <c r="B16" s="26"/>
      <c r="C16" s="30"/>
      <c r="D16" s="35" t="s">
        <v>53</v>
      </c>
      <c r="E16" s="64">
        <v>0.75</v>
      </c>
      <c r="F16" s="98">
        <v>20</v>
      </c>
      <c r="G16" s="35">
        <v>3</v>
      </c>
      <c r="H16" s="40">
        <v>1.4</v>
      </c>
      <c r="I16" s="38" t="s">
        <v>1059</v>
      </c>
      <c r="J16" s="34">
        <f>IFERROR(_xlfn.XLOOKUP(I16,Index!$A:$A,Index!$B:$B),"")</f>
        <v>365.5</v>
      </c>
    </row>
    <row r="17" spans="1:10" s="1" customFormat="1" ht="12.75" customHeight="1" x14ac:dyDescent="0.2">
      <c r="A17" s="26"/>
      <c r="B17" s="26"/>
      <c r="C17" s="30"/>
      <c r="D17" s="35" t="s">
        <v>55</v>
      </c>
      <c r="E17" s="64">
        <v>0.75</v>
      </c>
      <c r="F17" s="98">
        <v>20</v>
      </c>
      <c r="G17" s="35">
        <v>3</v>
      </c>
      <c r="H17" s="40">
        <v>1.4</v>
      </c>
      <c r="I17" s="38" t="s">
        <v>1060</v>
      </c>
      <c r="J17" s="34">
        <f>IFERROR(_xlfn.XLOOKUP(I17,Index!$A:$A,Index!$B:$B),"")</f>
        <v>365.5</v>
      </c>
    </row>
    <row r="18" spans="1:10" s="1" customFormat="1" ht="12.75" customHeight="1" x14ac:dyDescent="0.2">
      <c r="A18" s="26"/>
      <c r="B18" s="26"/>
      <c r="C18" s="30"/>
      <c r="D18" s="35" t="s">
        <v>508</v>
      </c>
      <c r="E18" s="36">
        <v>1</v>
      </c>
      <c r="F18" s="98">
        <v>25</v>
      </c>
      <c r="G18" s="35">
        <v>5</v>
      </c>
      <c r="H18" s="40">
        <v>2.2999999999999998</v>
      </c>
      <c r="I18" s="38" t="s">
        <v>1061</v>
      </c>
      <c r="J18" s="34">
        <f>IFERROR(_xlfn.XLOOKUP(I18,Index!$A:$A,Index!$B:$B),"")</f>
        <v>515.5</v>
      </c>
    </row>
    <row r="19" spans="1:10" s="1" customFormat="1" ht="12.75" customHeight="1" x14ac:dyDescent="0.2">
      <c r="A19" s="26"/>
      <c r="B19" s="26"/>
      <c r="C19" s="30"/>
      <c r="D19" s="35" t="s">
        <v>53</v>
      </c>
      <c r="E19" s="36">
        <v>1</v>
      </c>
      <c r="F19" s="98">
        <v>25</v>
      </c>
      <c r="G19" s="35">
        <v>5</v>
      </c>
      <c r="H19" s="40">
        <v>2.2999999999999998</v>
      </c>
      <c r="I19" s="38" t="s">
        <v>1062</v>
      </c>
      <c r="J19" s="34">
        <f>IFERROR(_xlfn.XLOOKUP(I19,Index!$A:$A,Index!$B:$B),"")</f>
        <v>541.5</v>
      </c>
    </row>
    <row r="20" spans="1:10" s="1" customFormat="1" ht="12.75" customHeight="1" x14ac:dyDescent="0.2">
      <c r="A20" s="26"/>
      <c r="B20" s="26"/>
      <c r="C20" s="30"/>
      <c r="D20" s="35" t="s">
        <v>55</v>
      </c>
      <c r="E20" s="36">
        <v>1</v>
      </c>
      <c r="F20" s="98">
        <v>25</v>
      </c>
      <c r="G20" s="35">
        <v>5</v>
      </c>
      <c r="H20" s="40">
        <v>2.2999999999999998</v>
      </c>
      <c r="I20" s="38" t="s">
        <v>1063</v>
      </c>
      <c r="J20" s="34">
        <f>IFERROR(_xlfn.XLOOKUP(I20,Index!$A:$A,Index!$B:$B),"")</f>
        <v>541.5</v>
      </c>
    </row>
    <row r="21" spans="1:10" s="1" customFormat="1" ht="12.75" customHeight="1" x14ac:dyDescent="0.2">
      <c r="A21" s="26"/>
      <c r="B21" s="26"/>
      <c r="C21" s="30"/>
      <c r="D21" s="35" t="s">
        <v>508</v>
      </c>
      <c r="E21" s="64">
        <v>1.25</v>
      </c>
      <c r="F21" s="98">
        <v>32</v>
      </c>
      <c r="G21" s="35">
        <v>7</v>
      </c>
      <c r="H21" s="40">
        <v>3.2</v>
      </c>
      <c r="I21" s="38" t="s">
        <v>1064</v>
      </c>
      <c r="J21" s="34">
        <f>IFERROR(_xlfn.XLOOKUP(I21,Index!$A:$A,Index!$B:$B),"")</f>
        <v>622.5</v>
      </c>
    </row>
    <row r="22" spans="1:10" s="1" customFormat="1" ht="12.75" customHeight="1" x14ac:dyDescent="0.2">
      <c r="A22" s="26"/>
      <c r="B22" s="26"/>
      <c r="C22" s="30"/>
      <c r="D22" s="35" t="s">
        <v>53</v>
      </c>
      <c r="E22" s="64">
        <v>1.25</v>
      </c>
      <c r="F22" s="98">
        <v>32</v>
      </c>
      <c r="G22" s="35">
        <v>7</v>
      </c>
      <c r="H22" s="40">
        <v>3.2</v>
      </c>
      <c r="I22" s="38" t="s">
        <v>1065</v>
      </c>
      <c r="J22" s="34">
        <f>IFERROR(_xlfn.XLOOKUP(I22,Index!$A:$A,Index!$B:$B),"")</f>
        <v>654.5</v>
      </c>
    </row>
    <row r="23" spans="1:10" s="1" customFormat="1" ht="12.75" customHeight="1" x14ac:dyDescent="0.2">
      <c r="A23" s="26"/>
      <c r="B23" s="26"/>
      <c r="C23" s="30"/>
      <c r="D23" s="35" t="s">
        <v>55</v>
      </c>
      <c r="E23" s="64">
        <v>1.25</v>
      </c>
      <c r="F23" s="98">
        <v>32</v>
      </c>
      <c r="G23" s="35">
        <v>7</v>
      </c>
      <c r="H23" s="40">
        <v>3.2</v>
      </c>
      <c r="I23" s="38" t="s">
        <v>1066</v>
      </c>
      <c r="J23" s="34">
        <f>IFERROR(_xlfn.XLOOKUP(I23,Index!$A:$A,Index!$B:$B),"")</f>
        <v>654.5</v>
      </c>
    </row>
    <row r="24" spans="1:10" s="1" customFormat="1" ht="12.75" customHeight="1" x14ac:dyDescent="0.2">
      <c r="A24" s="26"/>
      <c r="B24" s="26"/>
      <c r="C24" s="30"/>
      <c r="D24" s="35" t="s">
        <v>508</v>
      </c>
      <c r="E24" s="64">
        <v>1.5</v>
      </c>
      <c r="F24" s="98">
        <v>40</v>
      </c>
      <c r="G24" s="35">
        <v>10</v>
      </c>
      <c r="H24" s="40">
        <v>4.5</v>
      </c>
      <c r="I24" s="38" t="s">
        <v>5909</v>
      </c>
      <c r="J24" s="34">
        <f>IFERROR(_xlfn.XLOOKUP(I24,Index!$A:$A,Index!$B:$B),"")</f>
        <v>899</v>
      </c>
    </row>
    <row r="25" spans="1:10" s="1" customFormat="1" ht="12.75" customHeight="1" x14ac:dyDescent="0.2">
      <c r="A25" s="26"/>
      <c r="B25" s="26"/>
      <c r="C25" s="30"/>
      <c r="D25" s="35" t="s">
        <v>53</v>
      </c>
      <c r="E25" s="64">
        <v>1.5</v>
      </c>
      <c r="F25" s="98">
        <v>40</v>
      </c>
      <c r="G25" s="35">
        <v>10</v>
      </c>
      <c r="H25" s="40">
        <v>4.5</v>
      </c>
      <c r="I25" s="38" t="s">
        <v>1068</v>
      </c>
      <c r="J25" s="34">
        <f>IFERROR(_xlfn.XLOOKUP(I25,Index!$A:$A,Index!$B:$B),"")</f>
        <v>943.5</v>
      </c>
    </row>
    <row r="26" spans="1:10" s="1" customFormat="1" ht="12.75" customHeight="1" x14ac:dyDescent="0.2">
      <c r="A26" s="26"/>
      <c r="B26" s="26"/>
      <c r="C26" s="26"/>
      <c r="D26" s="35" t="s">
        <v>55</v>
      </c>
      <c r="E26" s="64">
        <v>1.5</v>
      </c>
      <c r="F26" s="98">
        <v>40</v>
      </c>
      <c r="G26" s="35">
        <v>10</v>
      </c>
      <c r="H26" s="40">
        <v>4.5</v>
      </c>
      <c r="I26" s="38" t="s">
        <v>1069</v>
      </c>
      <c r="J26" s="34">
        <f>IFERROR(_xlfn.XLOOKUP(I26,Index!$A:$A,Index!$B:$B),"")</f>
        <v>943.5</v>
      </c>
    </row>
    <row r="27" spans="1:10" s="1" customFormat="1" ht="12.75" customHeight="1" x14ac:dyDescent="0.2">
      <c r="A27" s="26"/>
      <c r="B27" s="26"/>
      <c r="C27" s="26"/>
      <c r="D27" s="35" t="s">
        <v>508</v>
      </c>
      <c r="E27" s="36">
        <v>2</v>
      </c>
      <c r="F27" s="98">
        <v>50</v>
      </c>
      <c r="G27" s="35">
        <v>15</v>
      </c>
      <c r="H27" s="40">
        <v>6.8</v>
      </c>
      <c r="I27" s="38" t="s">
        <v>1070</v>
      </c>
      <c r="J27" s="34">
        <f>IFERROR(_xlfn.XLOOKUP(I27,Index!$A:$A,Index!$B:$B),"")</f>
        <v>1739</v>
      </c>
    </row>
    <row r="28" spans="1:10" s="1" customFormat="1" ht="12.75" customHeight="1" x14ac:dyDescent="0.2">
      <c r="A28" s="26"/>
      <c r="B28" s="26"/>
      <c r="C28" s="26"/>
      <c r="D28" s="35" t="s">
        <v>53</v>
      </c>
      <c r="E28" s="36">
        <v>2</v>
      </c>
      <c r="F28" s="98">
        <v>50</v>
      </c>
      <c r="G28" s="35">
        <v>15</v>
      </c>
      <c r="H28" s="40">
        <v>6.8</v>
      </c>
      <c r="I28" s="38" t="s">
        <v>1071</v>
      </c>
      <c r="J28" s="34">
        <f>IFERROR(_xlfn.XLOOKUP(I28,Index!$A:$A,Index!$B:$B),"")</f>
        <v>1402</v>
      </c>
    </row>
    <row r="29" spans="1:10" s="1" customFormat="1" ht="12.75" customHeight="1" x14ac:dyDescent="0.2">
      <c r="A29" s="27"/>
      <c r="B29" s="27"/>
      <c r="C29" s="27"/>
      <c r="D29" s="35" t="s">
        <v>55</v>
      </c>
      <c r="E29" s="36">
        <v>2</v>
      </c>
      <c r="F29" s="98">
        <v>50</v>
      </c>
      <c r="G29" s="35">
        <v>15</v>
      </c>
      <c r="H29" s="40">
        <v>6.8</v>
      </c>
      <c r="I29" s="38" t="s">
        <v>1072</v>
      </c>
      <c r="J29" s="34">
        <f>IFERROR(_xlfn.XLOOKUP(I29,Index!$A:$A,Index!$B:$B),"")</f>
        <v>1402</v>
      </c>
    </row>
    <row r="30" spans="1:10" s="1" customFormat="1" ht="12.75" customHeight="1" x14ac:dyDescent="0.2">
      <c r="A30" s="12"/>
      <c r="B30" s="12"/>
      <c r="C30" s="4"/>
      <c r="D30" s="4"/>
      <c r="E30" s="5"/>
      <c r="F30" s="112"/>
      <c r="G30" s="4"/>
      <c r="H30" s="19"/>
      <c r="I30" s="19"/>
      <c r="J30" s="20"/>
    </row>
    <row r="31" spans="1:10" s="1" customFormat="1" ht="12.75" customHeight="1" x14ac:dyDescent="0.2">
      <c r="A31" s="12"/>
      <c r="B31" s="12"/>
      <c r="C31" s="4"/>
      <c r="D31" s="4"/>
      <c r="E31" s="5"/>
      <c r="F31" s="113"/>
      <c r="G31" s="4"/>
      <c r="H31" s="19"/>
      <c r="I31" s="19"/>
      <c r="J31" s="20"/>
    </row>
    <row r="32" spans="1:10" s="1" customFormat="1" ht="12.75" customHeight="1" x14ac:dyDescent="0.2">
      <c r="A32" s="71" t="s">
        <v>1073</v>
      </c>
      <c r="B32" s="71" t="s">
        <v>650</v>
      </c>
      <c r="C32" s="72"/>
      <c r="D32" s="73"/>
      <c r="E32" s="74"/>
      <c r="F32" s="114"/>
      <c r="G32" s="115"/>
      <c r="H32" s="77"/>
      <c r="I32" s="77"/>
      <c r="J32" s="78"/>
    </row>
    <row r="33" spans="1:17" s="79" customFormat="1" ht="15.75" x14ac:dyDescent="0.2">
      <c r="A33" s="48" t="s">
        <v>1074</v>
      </c>
      <c r="B33" s="11"/>
      <c r="C33" s="4"/>
      <c r="D33" s="4"/>
      <c r="E33" s="5"/>
      <c r="F33" s="110"/>
      <c r="G33" s="4"/>
      <c r="H33" s="19"/>
      <c r="I33" s="19"/>
      <c r="J33" s="20"/>
      <c r="K33" s="1"/>
      <c r="L33" s="1"/>
      <c r="M33" s="1"/>
      <c r="N33" s="1"/>
      <c r="O33" s="1"/>
      <c r="P33" s="1"/>
      <c r="Q33" s="1"/>
    </row>
    <row r="34" spans="1:17" s="1" customFormat="1" ht="12" x14ac:dyDescent="0.2">
      <c r="A34" s="25" t="s">
        <v>35</v>
      </c>
      <c r="B34" s="28" t="s">
        <v>36</v>
      </c>
      <c r="C34" s="333" t="s">
        <v>37</v>
      </c>
      <c r="D34" s="333"/>
      <c r="E34" s="335" t="s">
        <v>38</v>
      </c>
      <c r="F34" s="335"/>
      <c r="G34" s="335" t="s">
        <v>39</v>
      </c>
      <c r="H34" s="335"/>
      <c r="I34" s="42" t="s">
        <v>40</v>
      </c>
      <c r="J34" s="43" t="s">
        <v>41</v>
      </c>
    </row>
    <row r="35" spans="1:17" s="1" customFormat="1" ht="12.75" customHeight="1" x14ac:dyDescent="0.2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</row>
    <row r="36" spans="1:17" s="1" customFormat="1" ht="12.75" customHeight="1" x14ac:dyDescent="0.2">
      <c r="A36" s="26" t="s">
        <v>1075</v>
      </c>
      <c r="B36" s="26" t="s">
        <v>49</v>
      </c>
      <c r="C36" s="30" t="s">
        <v>50</v>
      </c>
      <c r="D36" s="35" t="s">
        <v>508</v>
      </c>
      <c r="E36" s="70">
        <v>0.25</v>
      </c>
      <c r="F36" s="38">
        <v>8</v>
      </c>
      <c r="G36" s="38">
        <v>2</v>
      </c>
      <c r="H36" s="38">
        <v>0.9</v>
      </c>
      <c r="I36" s="38" t="s">
        <v>1076</v>
      </c>
      <c r="J36" s="34">
        <f>IFERROR(_xlfn.XLOOKUP(I36,Index!$A:$A,Index!$B:$B),"")</f>
        <v>238.5</v>
      </c>
    </row>
    <row r="37" spans="1:17" s="1" customFormat="1" ht="12.75" customHeight="1" x14ac:dyDescent="0.2">
      <c r="A37" s="26"/>
      <c r="B37" s="26"/>
      <c r="C37" s="30"/>
      <c r="D37" s="35" t="s">
        <v>508</v>
      </c>
      <c r="E37" s="64">
        <v>0.375</v>
      </c>
      <c r="F37" s="116">
        <v>10</v>
      </c>
      <c r="G37" s="35">
        <v>2</v>
      </c>
      <c r="H37" s="40">
        <v>0.9</v>
      </c>
      <c r="I37" s="38" t="s">
        <v>1077</v>
      </c>
      <c r="J37" s="34">
        <f>IFERROR(_xlfn.XLOOKUP(I37,Index!$A:$A,Index!$B:$B),"")</f>
        <v>254.5</v>
      </c>
    </row>
    <row r="38" spans="1:17" s="55" customFormat="1" ht="14.25" x14ac:dyDescent="0.2">
      <c r="A38" s="26"/>
      <c r="B38" s="26"/>
      <c r="C38" s="30"/>
      <c r="D38" s="35" t="s">
        <v>508</v>
      </c>
      <c r="E38" s="64">
        <v>0.5</v>
      </c>
      <c r="F38" s="116">
        <v>15</v>
      </c>
      <c r="G38" s="35">
        <v>2</v>
      </c>
      <c r="H38" s="40">
        <v>0.9</v>
      </c>
      <c r="I38" s="38" t="s">
        <v>1078</v>
      </c>
      <c r="J38" s="34">
        <f>IFERROR(_xlfn.XLOOKUP(I38,Index!$A:$A,Index!$B:$B),"")</f>
        <v>267.5</v>
      </c>
      <c r="K38" s="1"/>
      <c r="L38" s="1"/>
      <c r="M38" s="1"/>
      <c r="N38" s="1"/>
      <c r="O38" s="1"/>
      <c r="P38" s="1"/>
      <c r="Q38" s="1"/>
    </row>
    <row r="39" spans="1:17" s="55" customFormat="1" ht="14.25" x14ac:dyDescent="0.2">
      <c r="A39" s="26"/>
      <c r="B39" s="26"/>
      <c r="C39" s="30"/>
      <c r="D39" s="35" t="s">
        <v>508</v>
      </c>
      <c r="E39" s="64">
        <v>0.75</v>
      </c>
      <c r="F39" s="116">
        <v>20</v>
      </c>
      <c r="G39" s="35">
        <v>3</v>
      </c>
      <c r="H39" s="40">
        <v>1.4</v>
      </c>
      <c r="I39" s="38" t="s">
        <v>1079</v>
      </c>
      <c r="J39" s="34">
        <f>IFERROR(_xlfn.XLOOKUP(I39,Index!$A:$A,Index!$B:$B),"")</f>
        <v>326.5</v>
      </c>
      <c r="K39" s="1"/>
      <c r="L39" s="1"/>
      <c r="M39" s="1"/>
      <c r="N39" s="1"/>
      <c r="O39" s="1"/>
      <c r="P39" s="1"/>
      <c r="Q39" s="1"/>
    </row>
    <row r="40" spans="1:17" s="1" customFormat="1" ht="12.75" customHeight="1" x14ac:dyDescent="0.2">
      <c r="A40" s="26"/>
      <c r="B40" s="26"/>
      <c r="C40" s="30"/>
      <c r="D40" s="35" t="s">
        <v>508</v>
      </c>
      <c r="E40" s="64">
        <v>1</v>
      </c>
      <c r="F40" s="116">
        <v>25</v>
      </c>
      <c r="G40" s="35">
        <v>5</v>
      </c>
      <c r="H40" s="40">
        <v>2.2999999999999998</v>
      </c>
      <c r="I40" s="38" t="s">
        <v>1080</v>
      </c>
      <c r="J40" s="34">
        <f>IFERROR(_xlfn.XLOOKUP(I40,Index!$A:$A,Index!$B:$B),"")</f>
        <v>483</v>
      </c>
    </row>
    <row r="41" spans="1:17" s="1" customFormat="1" ht="12.75" customHeight="1" x14ac:dyDescent="0.2">
      <c r="A41" s="26"/>
      <c r="B41" s="26"/>
      <c r="C41" s="30"/>
      <c r="D41" s="35" t="s">
        <v>508</v>
      </c>
      <c r="E41" s="64">
        <v>1.25</v>
      </c>
      <c r="F41" s="116">
        <v>32</v>
      </c>
      <c r="G41" s="35">
        <v>7</v>
      </c>
      <c r="H41" s="40">
        <v>3.2</v>
      </c>
      <c r="I41" s="38" t="s">
        <v>1081</v>
      </c>
      <c r="J41" s="34">
        <f>IFERROR(_xlfn.XLOOKUP(I41,Index!$A:$A,Index!$B:$B),"")</f>
        <v>584</v>
      </c>
    </row>
    <row r="42" spans="1:17" s="1" customFormat="1" ht="12.75" customHeight="1" x14ac:dyDescent="0.2">
      <c r="A42" s="26"/>
      <c r="B42" s="26"/>
      <c r="C42" s="30"/>
      <c r="D42" s="35" t="s">
        <v>508</v>
      </c>
      <c r="E42" s="64">
        <v>1.5</v>
      </c>
      <c r="F42" s="116">
        <v>40</v>
      </c>
      <c r="G42" s="35">
        <v>10</v>
      </c>
      <c r="H42" s="40">
        <v>4.5</v>
      </c>
      <c r="I42" s="38" t="s">
        <v>1082</v>
      </c>
      <c r="J42" s="34">
        <f>IFERROR(_xlfn.XLOOKUP(I42,Index!$A:$A,Index!$B:$B),"")</f>
        <v>842.5</v>
      </c>
    </row>
    <row r="43" spans="1:17" s="1" customFormat="1" ht="12.75" customHeight="1" x14ac:dyDescent="0.2">
      <c r="A43" s="27"/>
      <c r="B43" s="27"/>
      <c r="C43" s="31"/>
      <c r="D43" s="35" t="s">
        <v>508</v>
      </c>
      <c r="E43" s="64">
        <v>2</v>
      </c>
      <c r="F43" s="116">
        <v>50</v>
      </c>
      <c r="G43" s="35">
        <v>15</v>
      </c>
      <c r="H43" s="40">
        <v>6.8</v>
      </c>
      <c r="I43" s="38" t="s">
        <v>1083</v>
      </c>
      <c r="J43" s="34">
        <f>IFERROR(_xlfn.XLOOKUP(I43,Index!$A:$A,Index!$B:$B),"")</f>
        <v>1250</v>
      </c>
    </row>
    <row r="44" spans="1:17" s="1" customFormat="1" ht="12.75" customHeight="1" x14ac:dyDescent="0.2">
      <c r="A44" s="12"/>
      <c r="B44" s="12"/>
      <c r="C44" s="4"/>
      <c r="D44" s="4"/>
      <c r="E44" s="5"/>
      <c r="F44" s="113"/>
      <c r="G44" s="4"/>
      <c r="H44" s="19"/>
      <c r="I44" s="19"/>
      <c r="J44" s="20"/>
    </row>
    <row r="45" spans="1:17" s="1" customFormat="1" ht="12.75" customHeight="1" x14ac:dyDescent="0.2">
      <c r="A45" s="12"/>
      <c r="B45" s="12"/>
      <c r="C45" s="4"/>
      <c r="D45" s="4"/>
      <c r="E45" s="5"/>
      <c r="F45" s="113"/>
      <c r="G45" s="4"/>
      <c r="H45" s="19"/>
      <c r="I45" s="19"/>
      <c r="J45" s="20"/>
    </row>
    <row r="46" spans="1:17" s="1" customFormat="1" ht="12.75" customHeight="1" x14ac:dyDescent="0.2">
      <c r="A46" s="57" t="s">
        <v>23</v>
      </c>
      <c r="B46" s="18"/>
      <c r="C46" s="18"/>
      <c r="D46" s="49"/>
      <c r="E46" s="50"/>
      <c r="F46" s="101"/>
      <c r="G46" s="108"/>
      <c r="H46" s="53"/>
      <c r="I46" s="53"/>
      <c r="J46" s="54"/>
    </row>
    <row r="47" spans="1:17" s="1" customFormat="1" ht="12.75" customHeight="1" x14ac:dyDescent="0.2">
      <c r="A47" s="56" t="s">
        <v>102</v>
      </c>
      <c r="B47" s="57"/>
      <c r="C47" s="58"/>
      <c r="D47" s="58"/>
      <c r="E47" s="59"/>
      <c r="F47" s="101"/>
      <c r="G47" s="58"/>
      <c r="H47" s="53"/>
      <c r="I47" s="53"/>
      <c r="J47" s="54"/>
    </row>
    <row r="48" spans="1:17" s="1" customFormat="1" ht="12" x14ac:dyDescent="0.2">
      <c r="A48" s="25" t="s">
        <v>35</v>
      </c>
      <c r="B48" s="28" t="s">
        <v>103</v>
      </c>
      <c r="C48" s="335" t="s">
        <v>38</v>
      </c>
      <c r="D48" s="335"/>
      <c r="E48" s="42" t="s">
        <v>40</v>
      </c>
      <c r="F48" s="43" t="s">
        <v>41</v>
      </c>
    </row>
    <row r="49" spans="1:13" s="1" customFormat="1" ht="12.75" customHeight="1" x14ac:dyDescent="0.2">
      <c r="A49" s="32"/>
      <c r="B49" s="32"/>
      <c r="C49" s="33" t="s">
        <v>44</v>
      </c>
      <c r="D49" s="33" t="s">
        <v>45</v>
      </c>
      <c r="E49" s="33"/>
      <c r="F49" s="44"/>
    </row>
    <row r="50" spans="1:13" s="1" customFormat="1" ht="12.75" customHeight="1" x14ac:dyDescent="0.2">
      <c r="A50" s="60" t="s">
        <v>5556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f>IFERROR(_xlfn.XLOOKUP(E50,Index!$A:$A,Index!$B:$B),"")</f>
        <v>6.5</v>
      </c>
    </row>
    <row r="51" spans="1:13" s="1" customFormat="1" ht="12.75" customHeight="1" x14ac:dyDescent="0.2">
      <c r="A51" s="26"/>
      <c r="B51" s="26"/>
      <c r="C51" s="64">
        <v>0.375</v>
      </c>
      <c r="D51" s="116">
        <v>10</v>
      </c>
      <c r="E51" s="35" t="s">
        <v>687</v>
      </c>
      <c r="F51" s="34">
        <f>IFERROR(_xlfn.XLOOKUP(E51,Index!$A:$A,Index!$B:$B),"")</f>
        <v>6.5</v>
      </c>
    </row>
    <row r="52" spans="1:13" s="55" customFormat="1" ht="14.25" x14ac:dyDescent="0.2">
      <c r="A52" s="26"/>
      <c r="B52" s="26"/>
      <c r="C52" s="64">
        <v>0.5</v>
      </c>
      <c r="D52" s="116">
        <v>15</v>
      </c>
      <c r="E52" s="35" t="s">
        <v>687</v>
      </c>
      <c r="F52" s="34">
        <f>IFERROR(_xlfn.XLOOKUP(E52,Index!$A:$A,Index!$B:$B),"")</f>
        <v>6.5</v>
      </c>
      <c r="G52" s="1"/>
      <c r="H52" s="1"/>
      <c r="I52" s="1"/>
      <c r="J52" s="1"/>
      <c r="K52" s="1"/>
      <c r="L52" s="1"/>
      <c r="M52" s="1"/>
    </row>
    <row r="53" spans="1:13" s="55" customFormat="1" ht="14.25" x14ac:dyDescent="0.2">
      <c r="A53" s="26"/>
      <c r="B53" s="26"/>
      <c r="C53" s="64">
        <v>0.75</v>
      </c>
      <c r="D53" s="116">
        <v>20</v>
      </c>
      <c r="E53" s="35" t="s">
        <v>688</v>
      </c>
      <c r="F53" s="34">
        <f>IFERROR(_xlfn.XLOOKUP(E53,Index!$A:$A,Index!$B:$B),"")</f>
        <v>7</v>
      </c>
      <c r="G53" s="1"/>
      <c r="H53" s="1"/>
      <c r="I53" s="1"/>
      <c r="J53" s="1"/>
      <c r="K53" s="1"/>
      <c r="L53" s="1"/>
      <c r="M53" s="1"/>
    </row>
    <row r="54" spans="1:13" s="1" customFormat="1" ht="12.75" customHeight="1" x14ac:dyDescent="0.2">
      <c r="A54" s="26"/>
      <c r="B54" s="26"/>
      <c r="C54" s="64">
        <v>1</v>
      </c>
      <c r="D54" s="116">
        <v>25</v>
      </c>
      <c r="E54" s="35" t="s">
        <v>689</v>
      </c>
      <c r="F54" s="34">
        <f>IFERROR(_xlfn.XLOOKUP(E54,Index!$A:$A,Index!$B:$B),"")</f>
        <v>7</v>
      </c>
    </row>
    <row r="55" spans="1:13" s="1" customFormat="1" ht="12.75" customHeight="1" x14ac:dyDescent="0.2">
      <c r="A55" s="26"/>
      <c r="B55" s="26"/>
      <c r="C55" s="64">
        <v>1.25</v>
      </c>
      <c r="D55" s="116">
        <v>32</v>
      </c>
      <c r="E55" s="35" t="s">
        <v>690</v>
      </c>
      <c r="F55" s="34">
        <f>IFERROR(_xlfn.XLOOKUP(E55,Index!$A:$A,Index!$B:$B),"")</f>
        <v>7</v>
      </c>
    </row>
    <row r="56" spans="1:13" s="1" customFormat="1" ht="12.75" customHeight="1" x14ac:dyDescent="0.2">
      <c r="A56" s="26"/>
      <c r="B56" s="26"/>
      <c r="C56" s="64">
        <v>1.5</v>
      </c>
      <c r="D56" s="116">
        <v>40</v>
      </c>
      <c r="E56" s="35" t="s">
        <v>691</v>
      </c>
      <c r="F56" s="34">
        <f>IFERROR(_xlfn.XLOOKUP(E56,Index!$A:$A,Index!$B:$B),"")</f>
        <v>10</v>
      </c>
    </row>
    <row r="57" spans="1:13" s="1" customFormat="1" ht="12.75" customHeight="1" x14ac:dyDescent="0.2">
      <c r="A57" s="26"/>
      <c r="B57" s="26"/>
      <c r="C57" s="64">
        <v>2</v>
      </c>
      <c r="D57" s="116">
        <v>50</v>
      </c>
      <c r="E57" s="35" t="s">
        <v>1084</v>
      </c>
      <c r="F57" s="34">
        <f>IFERROR(_xlfn.XLOOKUP(E57,Index!$A:$A,Index!$B:$B),"")</f>
        <v>1334</v>
      </c>
    </row>
    <row r="58" spans="1:13" s="1" customFormat="1" ht="12.75" customHeight="1" x14ac:dyDescent="0.2">
      <c r="A58" s="26"/>
      <c r="B58" s="60" t="s">
        <v>210</v>
      </c>
      <c r="C58" s="70">
        <v>0.25</v>
      </c>
      <c r="D58" s="38">
        <v>8</v>
      </c>
      <c r="E58" s="35" t="s">
        <v>6340</v>
      </c>
      <c r="F58" s="34">
        <f>IFERROR(_xlfn.XLOOKUP(E58,Index!$A:$A,Index!$B:$B),"")</f>
        <v>22.25</v>
      </c>
    </row>
    <row r="59" spans="1:13" s="1" customFormat="1" ht="12.75" customHeight="1" x14ac:dyDescent="0.2">
      <c r="A59" s="26"/>
      <c r="B59" s="26"/>
      <c r="C59" s="64">
        <v>0.375</v>
      </c>
      <c r="D59" s="116">
        <v>10</v>
      </c>
      <c r="E59" s="35" t="s">
        <v>6340</v>
      </c>
      <c r="F59" s="34">
        <f>IFERROR(_xlfn.XLOOKUP(E59,Index!$A:$A,Index!$B:$B),"")</f>
        <v>22.25</v>
      </c>
    </row>
    <row r="60" spans="1:13" s="1" customFormat="1" ht="12.75" customHeight="1" x14ac:dyDescent="0.2">
      <c r="A60" s="26"/>
      <c r="B60" s="26"/>
      <c r="C60" s="64">
        <v>0.5</v>
      </c>
      <c r="D60" s="116">
        <v>15</v>
      </c>
      <c r="E60" s="35" t="s">
        <v>6340</v>
      </c>
      <c r="F60" s="34">
        <f>IFERROR(_xlfn.XLOOKUP(E60,Index!$A:$A,Index!$B:$B),"")</f>
        <v>22.25</v>
      </c>
    </row>
    <row r="61" spans="1:13" s="1" customFormat="1" ht="12.75" customHeight="1" x14ac:dyDescent="0.2">
      <c r="A61" s="26"/>
      <c r="B61" s="26"/>
      <c r="C61" s="64">
        <v>0.75</v>
      </c>
      <c r="D61" s="116">
        <v>20</v>
      </c>
      <c r="E61" s="35" t="s">
        <v>693</v>
      </c>
      <c r="F61" s="34">
        <f>IFERROR(_xlfn.XLOOKUP(E61,Index!$A:$A,Index!$B:$B),"")</f>
        <v>24.75</v>
      </c>
    </row>
    <row r="62" spans="1:13" s="1" customFormat="1" ht="12.75" customHeight="1" x14ac:dyDescent="0.2">
      <c r="A62" s="26"/>
      <c r="B62" s="26"/>
      <c r="C62" s="64">
        <v>1</v>
      </c>
      <c r="D62" s="116">
        <v>25</v>
      </c>
      <c r="E62" s="35" t="s">
        <v>694</v>
      </c>
      <c r="F62" s="34">
        <f>IFERROR(_xlfn.XLOOKUP(E62,Index!$A:$A,Index!$B:$B),"")</f>
        <v>24.75</v>
      </c>
    </row>
    <row r="63" spans="1:13" s="1" customFormat="1" ht="12.75" customHeight="1" x14ac:dyDescent="0.2">
      <c r="A63" s="26"/>
      <c r="B63" s="26"/>
      <c r="C63" s="64">
        <v>1.25</v>
      </c>
      <c r="D63" s="116">
        <v>32</v>
      </c>
      <c r="E63" s="35" t="s">
        <v>6341</v>
      </c>
      <c r="F63" s="34">
        <f>IFERROR(_xlfn.XLOOKUP(E63,Index!$A:$A,Index!$B:$B),"")</f>
        <v>24.75</v>
      </c>
    </row>
    <row r="64" spans="1:13" s="1" customFormat="1" ht="12.75" customHeight="1" x14ac:dyDescent="0.2">
      <c r="A64" s="26"/>
      <c r="B64" s="26"/>
      <c r="C64" s="64">
        <v>1.5</v>
      </c>
      <c r="D64" s="116">
        <v>40</v>
      </c>
      <c r="E64" s="35" t="s">
        <v>6342</v>
      </c>
      <c r="F64" s="34">
        <f>IFERROR(_xlfn.XLOOKUP(E64,Index!$A:$A,Index!$B:$B),"")</f>
        <v>29.75</v>
      </c>
    </row>
    <row r="65" spans="1:6" s="1" customFormat="1" ht="12.75" customHeight="1" x14ac:dyDescent="0.2">
      <c r="A65" s="26"/>
      <c r="B65" s="26"/>
      <c r="C65" s="64">
        <v>2</v>
      </c>
      <c r="D65" s="116">
        <v>50</v>
      </c>
      <c r="E65" s="35" t="s">
        <v>695</v>
      </c>
      <c r="F65" s="34">
        <f>IFERROR(_xlfn.XLOOKUP(E65,Index!$A:$A,Index!$B:$B),"")</f>
        <v>33.5</v>
      </c>
    </row>
    <row r="66" spans="1:6" s="1" customFormat="1" ht="12.75" customHeight="1" x14ac:dyDescent="0.2">
      <c r="A66" s="26"/>
      <c r="B66" s="60" t="s">
        <v>122</v>
      </c>
      <c r="C66" s="70">
        <v>0.25</v>
      </c>
      <c r="D66" s="38">
        <v>8</v>
      </c>
      <c r="E66" s="35" t="s">
        <v>696</v>
      </c>
      <c r="F66" s="34">
        <f>IFERROR(_xlfn.XLOOKUP(E66,Index!$A:$A,Index!$B:$B),"")</f>
        <v>63.5</v>
      </c>
    </row>
    <row r="67" spans="1:6" s="1" customFormat="1" ht="12.75" customHeight="1" x14ac:dyDescent="0.2">
      <c r="A67" s="26"/>
      <c r="B67" s="26"/>
      <c r="C67" s="64">
        <v>0.375</v>
      </c>
      <c r="D67" s="116">
        <v>10</v>
      </c>
      <c r="E67" s="35" t="s">
        <v>696</v>
      </c>
      <c r="F67" s="34">
        <f>IFERROR(_xlfn.XLOOKUP(E67,Index!$A:$A,Index!$B:$B),"")</f>
        <v>63.5</v>
      </c>
    </row>
    <row r="68" spans="1:6" s="1" customFormat="1" ht="12.75" customHeight="1" x14ac:dyDescent="0.2">
      <c r="A68" s="26"/>
      <c r="B68" s="26"/>
      <c r="C68" s="64">
        <v>0.5</v>
      </c>
      <c r="D68" s="116">
        <v>15</v>
      </c>
      <c r="E68" s="35" t="s">
        <v>696</v>
      </c>
      <c r="F68" s="34">
        <f>IFERROR(_xlfn.XLOOKUP(E68,Index!$A:$A,Index!$B:$B),"")</f>
        <v>63.5</v>
      </c>
    </row>
    <row r="69" spans="1:6" s="1" customFormat="1" ht="12.75" customHeight="1" x14ac:dyDescent="0.2">
      <c r="A69" s="26"/>
      <c r="B69" s="26"/>
      <c r="C69" s="64">
        <v>0.75</v>
      </c>
      <c r="D69" s="116">
        <v>20</v>
      </c>
      <c r="E69" s="35" t="s">
        <v>697</v>
      </c>
      <c r="F69" s="34">
        <f>IFERROR(_xlfn.XLOOKUP(E69,Index!$A:$A,Index!$B:$B),"")</f>
        <v>80.5</v>
      </c>
    </row>
    <row r="70" spans="1:6" s="1" customFormat="1" ht="12.75" customHeight="1" x14ac:dyDescent="0.2">
      <c r="A70" s="26"/>
      <c r="B70" s="26"/>
      <c r="C70" s="64">
        <v>1</v>
      </c>
      <c r="D70" s="116">
        <v>25</v>
      </c>
      <c r="E70" s="35" t="s">
        <v>698</v>
      </c>
      <c r="F70" s="34">
        <f>IFERROR(_xlfn.XLOOKUP(E70,Index!$A:$A,Index!$B:$B),"")</f>
        <v>80.5</v>
      </c>
    </row>
    <row r="71" spans="1:6" s="1" customFormat="1" ht="12.75" customHeight="1" x14ac:dyDescent="0.2">
      <c r="A71" s="26"/>
      <c r="B71" s="26"/>
      <c r="C71" s="64">
        <v>1.25</v>
      </c>
      <c r="D71" s="116">
        <v>32</v>
      </c>
      <c r="E71" s="35" t="s">
        <v>699</v>
      </c>
      <c r="F71" s="34">
        <f>IFERROR(_xlfn.XLOOKUP(E71,Index!$A:$A,Index!$B:$B),"")</f>
        <v>80.5</v>
      </c>
    </row>
    <row r="72" spans="1:6" s="1" customFormat="1" ht="12.75" customHeight="1" x14ac:dyDescent="0.2">
      <c r="A72" s="26"/>
      <c r="B72" s="26"/>
      <c r="C72" s="64">
        <v>1.5</v>
      </c>
      <c r="D72" s="116">
        <v>40</v>
      </c>
      <c r="E72" s="35" t="s">
        <v>700</v>
      </c>
      <c r="F72" s="34">
        <f>IFERROR(_xlfn.XLOOKUP(E72,Index!$A:$A,Index!$B:$B),"")</f>
        <v>88.5</v>
      </c>
    </row>
    <row r="73" spans="1:6" s="1" customFormat="1" ht="12.75" customHeight="1" x14ac:dyDescent="0.2">
      <c r="A73" s="26"/>
      <c r="B73" s="26"/>
      <c r="C73" s="64">
        <v>2</v>
      </c>
      <c r="D73" s="116">
        <v>50</v>
      </c>
      <c r="E73" s="35" t="s">
        <v>701</v>
      </c>
      <c r="F73" s="34">
        <f>IFERROR(_xlfn.XLOOKUP(E73,Index!$A:$A,Index!$B:$B),"")</f>
        <v>88.5</v>
      </c>
    </row>
    <row r="74" spans="1:6" s="1" customFormat="1" ht="12.75" customHeight="1" x14ac:dyDescent="0.2">
      <c r="A74" s="26"/>
      <c r="B74" s="60" t="s">
        <v>134</v>
      </c>
      <c r="C74" s="70">
        <v>0.25</v>
      </c>
      <c r="D74" s="38">
        <v>8</v>
      </c>
      <c r="E74" s="35" t="s">
        <v>702</v>
      </c>
      <c r="F74" s="34">
        <f>IFERROR(_xlfn.XLOOKUP(E74,Index!$A:$A,Index!$B:$B),"")</f>
        <v>63.5</v>
      </c>
    </row>
    <row r="75" spans="1:6" s="1" customFormat="1" ht="12.75" customHeight="1" x14ac:dyDescent="0.2">
      <c r="A75" s="26"/>
      <c r="B75" s="26"/>
      <c r="C75" s="64">
        <v>0.375</v>
      </c>
      <c r="D75" s="116">
        <v>10</v>
      </c>
      <c r="E75" s="35" t="s">
        <v>702</v>
      </c>
      <c r="F75" s="34">
        <f>IFERROR(_xlfn.XLOOKUP(E75,Index!$A:$A,Index!$B:$B),"")</f>
        <v>63.5</v>
      </c>
    </row>
    <row r="76" spans="1:6" s="1" customFormat="1" ht="12.75" customHeight="1" x14ac:dyDescent="0.2">
      <c r="A76" s="26"/>
      <c r="B76" s="26"/>
      <c r="C76" s="64">
        <v>0.5</v>
      </c>
      <c r="D76" s="116">
        <v>15</v>
      </c>
      <c r="E76" s="35" t="s">
        <v>702</v>
      </c>
      <c r="F76" s="34">
        <f>IFERROR(_xlfn.XLOOKUP(E76,Index!$A:$A,Index!$B:$B),"")</f>
        <v>63.5</v>
      </c>
    </row>
    <row r="77" spans="1:6" s="1" customFormat="1" ht="12.75" customHeight="1" x14ac:dyDescent="0.2">
      <c r="A77" s="26"/>
      <c r="B77" s="26"/>
      <c r="C77" s="64">
        <v>0.75</v>
      </c>
      <c r="D77" s="116">
        <v>20</v>
      </c>
      <c r="E77" s="35" t="s">
        <v>703</v>
      </c>
      <c r="F77" s="34">
        <f>IFERROR(_xlfn.XLOOKUP(E77,Index!$A:$A,Index!$B:$B),"")</f>
        <v>80.5</v>
      </c>
    </row>
    <row r="78" spans="1:6" s="1" customFormat="1" ht="12.75" customHeight="1" x14ac:dyDescent="0.2">
      <c r="A78" s="26"/>
      <c r="B78" s="26"/>
      <c r="C78" s="64">
        <v>1</v>
      </c>
      <c r="D78" s="116">
        <v>25</v>
      </c>
      <c r="E78" s="35" t="s">
        <v>704</v>
      </c>
      <c r="F78" s="34">
        <f>IFERROR(_xlfn.XLOOKUP(E78,Index!$A:$A,Index!$B:$B),"")</f>
        <v>80.5</v>
      </c>
    </row>
    <row r="79" spans="1:6" s="1" customFormat="1" ht="12.75" customHeight="1" x14ac:dyDescent="0.2">
      <c r="A79" s="26"/>
      <c r="B79" s="26"/>
      <c r="C79" s="64">
        <v>1.25</v>
      </c>
      <c r="D79" s="116">
        <v>32</v>
      </c>
      <c r="E79" s="35" t="s">
        <v>705</v>
      </c>
      <c r="F79" s="34">
        <f>IFERROR(_xlfn.XLOOKUP(E79,Index!$A:$A,Index!$B:$B),"")</f>
        <v>80.5</v>
      </c>
    </row>
    <row r="80" spans="1:6" s="1" customFormat="1" ht="12.75" customHeight="1" x14ac:dyDescent="0.2">
      <c r="A80" s="26"/>
      <c r="B80" s="26"/>
      <c r="C80" s="64">
        <v>1.5</v>
      </c>
      <c r="D80" s="116">
        <v>40</v>
      </c>
      <c r="E80" s="35" t="s">
        <v>706</v>
      </c>
      <c r="F80" s="34">
        <f>IFERROR(_xlfn.XLOOKUP(E80,Index!$A:$A,Index!$B:$B),"")</f>
        <v>88.5</v>
      </c>
    </row>
    <row r="81" spans="1:6" s="1" customFormat="1" ht="12.75" customHeight="1" x14ac:dyDescent="0.2">
      <c r="A81" s="26"/>
      <c r="B81" s="26"/>
      <c r="C81" s="64">
        <v>2</v>
      </c>
      <c r="D81" s="116">
        <v>50</v>
      </c>
      <c r="E81" s="35" t="s">
        <v>707</v>
      </c>
      <c r="F81" s="34">
        <f>IFERROR(_xlfn.XLOOKUP(E81,Index!$A:$A,Index!$B:$B),"")</f>
        <v>88.5</v>
      </c>
    </row>
    <row r="82" spans="1:6" s="1" customFormat="1" ht="12.75" customHeight="1" x14ac:dyDescent="0.2">
      <c r="A82" s="26"/>
      <c r="B82" s="60" t="s">
        <v>145</v>
      </c>
      <c r="C82" s="70">
        <v>0.25</v>
      </c>
      <c r="D82" s="38">
        <v>8</v>
      </c>
      <c r="E82" s="35" t="s">
        <v>708</v>
      </c>
      <c r="F82" s="34">
        <f>IFERROR(_xlfn.XLOOKUP(E82,Index!$A:$A,Index!$B:$B),"")</f>
        <v>57.5</v>
      </c>
    </row>
    <row r="83" spans="1:6" s="1" customFormat="1" ht="12.75" customHeight="1" x14ac:dyDescent="0.2">
      <c r="A83" s="26"/>
      <c r="B83" s="26"/>
      <c r="C83" s="64">
        <v>0.375</v>
      </c>
      <c r="D83" s="116">
        <v>10</v>
      </c>
      <c r="E83" s="35" t="s">
        <v>708</v>
      </c>
      <c r="F83" s="34">
        <f>IFERROR(_xlfn.XLOOKUP(E83,Index!$A:$A,Index!$B:$B),"")</f>
        <v>57.5</v>
      </c>
    </row>
    <row r="84" spans="1:6" s="1" customFormat="1" ht="12.75" customHeight="1" x14ac:dyDescent="0.2">
      <c r="A84" s="26"/>
      <c r="B84" s="26"/>
      <c r="C84" s="64">
        <v>0.5</v>
      </c>
      <c r="D84" s="116">
        <v>15</v>
      </c>
      <c r="E84" s="35" t="s">
        <v>708</v>
      </c>
      <c r="F84" s="34">
        <f>IFERROR(_xlfn.XLOOKUP(E84,Index!$A:$A,Index!$B:$B),"")</f>
        <v>57.5</v>
      </c>
    </row>
    <row r="85" spans="1:6" s="1" customFormat="1" ht="12.75" customHeight="1" x14ac:dyDescent="0.2">
      <c r="A85" s="26"/>
      <c r="B85" s="26"/>
      <c r="C85" s="64">
        <v>0.75</v>
      </c>
      <c r="D85" s="116">
        <v>20</v>
      </c>
      <c r="E85" s="35" t="s">
        <v>2849</v>
      </c>
      <c r="F85" s="34">
        <f>IFERROR(_xlfn.XLOOKUP(E85,Index!$A:$A,Index!$B:$B),"")</f>
        <v>80.5</v>
      </c>
    </row>
    <row r="86" spans="1:6" s="1" customFormat="1" ht="12.75" customHeight="1" x14ac:dyDescent="0.2">
      <c r="A86" s="26"/>
      <c r="B86" s="26"/>
      <c r="C86" s="64">
        <v>1</v>
      </c>
      <c r="D86" s="116">
        <v>25</v>
      </c>
      <c r="E86" s="35" t="s">
        <v>709</v>
      </c>
      <c r="F86" s="34">
        <f>IFERROR(_xlfn.XLOOKUP(E86,Index!$A:$A,Index!$B:$B),"")</f>
        <v>80.5</v>
      </c>
    </row>
    <row r="87" spans="1:6" s="1" customFormat="1" ht="12.75" customHeight="1" x14ac:dyDescent="0.2">
      <c r="A87" s="26"/>
      <c r="B87" s="26"/>
      <c r="C87" s="64">
        <v>1.25</v>
      </c>
      <c r="D87" s="116">
        <v>32</v>
      </c>
      <c r="E87" s="35" t="s">
        <v>710</v>
      </c>
      <c r="F87" s="34">
        <f>IFERROR(_xlfn.XLOOKUP(E87,Index!$A:$A,Index!$B:$B),"")</f>
        <v>80.5</v>
      </c>
    </row>
    <row r="88" spans="1:6" s="1" customFormat="1" ht="12.75" customHeight="1" x14ac:dyDescent="0.2">
      <c r="A88" s="26"/>
      <c r="B88" s="26"/>
      <c r="C88" s="64">
        <v>1.5</v>
      </c>
      <c r="D88" s="116">
        <v>40</v>
      </c>
      <c r="E88" s="35" t="s">
        <v>711</v>
      </c>
      <c r="F88" s="34">
        <f>IFERROR(_xlfn.XLOOKUP(E88,Index!$A:$A,Index!$B:$B),"")</f>
        <v>88.5</v>
      </c>
    </row>
    <row r="89" spans="1:6" s="1" customFormat="1" ht="12.75" customHeight="1" x14ac:dyDescent="0.2">
      <c r="A89" s="26"/>
      <c r="B89" s="26"/>
      <c r="C89" s="64">
        <v>2</v>
      </c>
      <c r="D89" s="116">
        <v>50</v>
      </c>
      <c r="E89" s="35" t="s">
        <v>712</v>
      </c>
      <c r="F89" s="34">
        <f>IFERROR(_xlfn.XLOOKUP(E89,Index!$A:$A,Index!$B:$B),"")</f>
        <v>88.5</v>
      </c>
    </row>
    <row r="90" spans="1:6" s="1" customFormat="1" ht="12.75" customHeight="1" x14ac:dyDescent="0.2">
      <c r="A90" s="26"/>
      <c r="B90" s="60" t="s">
        <v>155</v>
      </c>
      <c r="C90" s="70">
        <v>0.25</v>
      </c>
      <c r="D90" s="38">
        <v>8</v>
      </c>
      <c r="E90" s="35" t="s">
        <v>713</v>
      </c>
      <c r="F90" s="34">
        <f>IFERROR(_xlfn.XLOOKUP(E90,Index!$A:$A,Index!$B:$B),"")</f>
        <v>57.5</v>
      </c>
    </row>
    <row r="91" spans="1:6" s="1" customFormat="1" ht="12.75" customHeight="1" x14ac:dyDescent="0.2">
      <c r="A91" s="26"/>
      <c r="B91" s="26"/>
      <c r="C91" s="64">
        <v>0.375</v>
      </c>
      <c r="D91" s="116">
        <v>10</v>
      </c>
      <c r="E91" s="35" t="s">
        <v>713</v>
      </c>
      <c r="F91" s="34">
        <f>IFERROR(_xlfn.XLOOKUP(E91,Index!$A:$A,Index!$B:$B),"")</f>
        <v>57.5</v>
      </c>
    </row>
    <row r="92" spans="1:6" s="1" customFormat="1" ht="12.75" customHeight="1" x14ac:dyDescent="0.2">
      <c r="A92" s="26"/>
      <c r="B92" s="26"/>
      <c r="C92" s="64">
        <v>0.5</v>
      </c>
      <c r="D92" s="116">
        <v>15</v>
      </c>
      <c r="E92" s="35" t="s">
        <v>713</v>
      </c>
      <c r="F92" s="34">
        <f>IFERROR(_xlfn.XLOOKUP(E92,Index!$A:$A,Index!$B:$B),"")</f>
        <v>57.5</v>
      </c>
    </row>
    <row r="93" spans="1:6" s="1" customFormat="1" ht="12.75" customHeight="1" x14ac:dyDescent="0.2">
      <c r="A93" s="26"/>
      <c r="B93" s="26"/>
      <c r="C93" s="64">
        <v>0.75</v>
      </c>
      <c r="D93" s="116">
        <v>20</v>
      </c>
      <c r="E93" s="35" t="s">
        <v>714</v>
      </c>
      <c r="F93" s="34">
        <f>IFERROR(_xlfn.XLOOKUP(E93,Index!$A:$A,Index!$B:$B),"")</f>
        <v>80.5</v>
      </c>
    </row>
    <row r="94" spans="1:6" s="1" customFormat="1" ht="12.75" customHeight="1" x14ac:dyDescent="0.2">
      <c r="A94" s="26"/>
      <c r="B94" s="26"/>
      <c r="C94" s="64">
        <v>1</v>
      </c>
      <c r="D94" s="116">
        <v>25</v>
      </c>
      <c r="E94" s="35" t="s">
        <v>715</v>
      </c>
      <c r="F94" s="34">
        <f>IFERROR(_xlfn.XLOOKUP(E94,Index!$A:$A,Index!$B:$B),"")</f>
        <v>80.5</v>
      </c>
    </row>
    <row r="95" spans="1:6" s="1" customFormat="1" ht="12.75" customHeight="1" x14ac:dyDescent="0.2">
      <c r="A95" s="26"/>
      <c r="B95" s="26"/>
      <c r="C95" s="64">
        <v>1.25</v>
      </c>
      <c r="D95" s="116">
        <v>32</v>
      </c>
      <c r="E95" s="35" t="s">
        <v>716</v>
      </c>
      <c r="F95" s="34">
        <f>IFERROR(_xlfn.XLOOKUP(E95,Index!$A:$A,Index!$B:$B),"")</f>
        <v>80.5</v>
      </c>
    </row>
    <row r="96" spans="1:6" s="1" customFormat="1" ht="12.75" customHeight="1" x14ac:dyDescent="0.2">
      <c r="A96" s="26"/>
      <c r="B96" s="26"/>
      <c r="C96" s="64">
        <v>1.5</v>
      </c>
      <c r="D96" s="116">
        <v>40</v>
      </c>
      <c r="E96" s="35" t="s">
        <v>717</v>
      </c>
      <c r="F96" s="34">
        <f>IFERROR(_xlfn.XLOOKUP(E96,Index!$A:$A,Index!$B:$B),"")</f>
        <v>88.5</v>
      </c>
    </row>
    <row r="97" spans="1:17" s="1" customFormat="1" ht="12.75" customHeight="1" x14ac:dyDescent="0.2">
      <c r="A97" s="26"/>
      <c r="B97" s="27"/>
      <c r="C97" s="64">
        <v>2</v>
      </c>
      <c r="D97" s="116">
        <v>50</v>
      </c>
      <c r="E97" s="35" t="s">
        <v>718</v>
      </c>
      <c r="F97" s="34">
        <f>IFERROR(_xlfn.XLOOKUP(E97,Index!$A:$A,Index!$B:$B),"")</f>
        <v>88.5</v>
      </c>
    </row>
    <row r="98" spans="1:17" s="1" customFormat="1" ht="12.75" customHeight="1" x14ac:dyDescent="0.2">
      <c r="A98" s="26"/>
      <c r="B98" s="60" t="s">
        <v>719</v>
      </c>
      <c r="C98" s="70">
        <v>0.25</v>
      </c>
      <c r="D98" s="38">
        <v>8</v>
      </c>
      <c r="E98" s="35" t="s">
        <v>835</v>
      </c>
      <c r="F98" s="34">
        <f>IFERROR(_xlfn.XLOOKUP(E98,Index!$A:$A,Index!$B:$B),"")</f>
        <v>7</v>
      </c>
    </row>
    <row r="99" spans="1:17" s="1" customFormat="1" ht="12.75" customHeight="1" x14ac:dyDescent="0.2">
      <c r="A99" s="26"/>
      <c r="B99" s="26"/>
      <c r="C99" s="64">
        <v>0.375</v>
      </c>
      <c r="D99" s="116">
        <v>10</v>
      </c>
      <c r="E99" s="35" t="s">
        <v>835</v>
      </c>
      <c r="F99" s="34">
        <f>IFERROR(_xlfn.XLOOKUP(E99,Index!$A:$A,Index!$B:$B),"")</f>
        <v>7</v>
      </c>
    </row>
    <row r="100" spans="1:17" s="1" customFormat="1" ht="12.75" customHeight="1" x14ac:dyDescent="0.2">
      <c r="A100" s="26"/>
      <c r="B100" s="26"/>
      <c r="C100" s="64">
        <v>0.5</v>
      </c>
      <c r="D100" s="116">
        <v>15</v>
      </c>
      <c r="E100" s="35" t="s">
        <v>835</v>
      </c>
      <c r="F100" s="34">
        <f>IFERROR(_xlfn.XLOOKUP(E100,Index!$A:$A,Index!$B:$B),"")</f>
        <v>7</v>
      </c>
    </row>
    <row r="101" spans="1:17" s="1" customFormat="1" ht="12.75" customHeight="1" x14ac:dyDescent="0.2">
      <c r="A101" s="26"/>
      <c r="B101" s="26"/>
      <c r="C101" s="64">
        <v>0.75</v>
      </c>
      <c r="D101" s="116">
        <v>20</v>
      </c>
      <c r="E101" s="35" t="s">
        <v>836</v>
      </c>
      <c r="F101" s="34">
        <f>IFERROR(_xlfn.XLOOKUP(E101,Index!$A:$A,Index!$B:$B),"")</f>
        <v>7</v>
      </c>
    </row>
    <row r="102" spans="1:17" s="1" customFormat="1" ht="12.75" customHeight="1" x14ac:dyDescent="0.2">
      <c r="A102" s="26"/>
      <c r="B102" s="26"/>
      <c r="C102" s="64">
        <v>1</v>
      </c>
      <c r="D102" s="116">
        <v>25</v>
      </c>
      <c r="E102" s="35" t="s">
        <v>836</v>
      </c>
      <c r="F102" s="34">
        <f>IFERROR(_xlfn.XLOOKUP(E102,Index!$A:$A,Index!$B:$B),"")</f>
        <v>7</v>
      </c>
    </row>
    <row r="103" spans="1:17" s="1" customFormat="1" ht="12.75" customHeight="1" x14ac:dyDescent="0.2">
      <c r="A103" s="26"/>
      <c r="B103" s="26"/>
      <c r="C103" s="64">
        <v>1.25</v>
      </c>
      <c r="D103" s="116">
        <v>32</v>
      </c>
      <c r="E103" s="35" t="s">
        <v>838</v>
      </c>
      <c r="F103" s="34">
        <f>IFERROR(_xlfn.XLOOKUP(E103,Index!$A:$A,Index!$B:$B),"")</f>
        <v>33.25</v>
      </c>
    </row>
    <row r="104" spans="1:17" s="1" customFormat="1" ht="12.75" customHeight="1" x14ac:dyDescent="0.2">
      <c r="A104" s="26"/>
      <c r="B104" s="26"/>
      <c r="C104" s="64">
        <v>1.5</v>
      </c>
      <c r="D104" s="116">
        <v>40</v>
      </c>
      <c r="E104" s="35" t="s">
        <v>838</v>
      </c>
      <c r="F104" s="34">
        <f>IFERROR(_xlfn.XLOOKUP(E104,Index!$A:$A,Index!$B:$B),"")</f>
        <v>33.25</v>
      </c>
    </row>
    <row r="105" spans="1:17" s="1" customFormat="1" ht="12.75" customHeight="1" x14ac:dyDescent="0.2">
      <c r="A105" s="27"/>
      <c r="B105" s="27"/>
      <c r="C105" s="64">
        <v>2</v>
      </c>
      <c r="D105" s="116">
        <v>50</v>
      </c>
      <c r="E105" s="35" t="s">
        <v>5557</v>
      </c>
      <c r="F105" s="34">
        <f>IFERROR(_xlfn.XLOOKUP(E105,Index!$A:$A,Index!$B:$B),"")</f>
        <v>52.5</v>
      </c>
    </row>
    <row r="106" spans="1:17" s="1" customFormat="1" ht="12.75" customHeight="1" x14ac:dyDescent="0.25">
      <c r="A106"/>
      <c r="B106"/>
      <c r="C106"/>
      <c r="D106"/>
      <c r="E106"/>
      <c r="F106"/>
      <c r="G106"/>
      <c r="H106"/>
      <c r="I106"/>
      <c r="J106"/>
    </row>
    <row r="107" spans="1:17" ht="15.75" x14ac:dyDescent="0.25">
      <c r="A107" s="62" t="s">
        <v>1085</v>
      </c>
      <c r="B107" s="62" t="s">
        <v>650</v>
      </c>
      <c r="C107" s="14"/>
      <c r="D107" s="3"/>
      <c r="E107" s="8"/>
      <c r="F107" s="110"/>
      <c r="G107" s="111"/>
      <c r="H107" s="19"/>
      <c r="I107" s="19"/>
      <c r="J107" s="20"/>
      <c r="K107" s="1"/>
      <c r="L107" s="1"/>
      <c r="M107" s="1"/>
      <c r="N107" s="1"/>
      <c r="O107" s="1"/>
      <c r="P107" s="1"/>
      <c r="Q107" s="1"/>
    </row>
    <row r="108" spans="1:17" s="1" customFormat="1" ht="15.75" x14ac:dyDescent="0.2">
      <c r="A108" s="48" t="s">
        <v>1086</v>
      </c>
      <c r="B108" s="11"/>
      <c r="C108" s="4"/>
      <c r="D108" s="4"/>
      <c r="E108" s="5"/>
      <c r="F108" s="110"/>
      <c r="G108" s="4"/>
      <c r="H108" s="19"/>
      <c r="I108" s="19"/>
      <c r="J108" s="20"/>
    </row>
    <row r="109" spans="1:17" s="1" customFormat="1" ht="12" x14ac:dyDescent="0.2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</row>
    <row r="110" spans="1:17" s="1" customFormat="1" ht="12.75" customHeight="1" x14ac:dyDescent="0.2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</row>
    <row r="111" spans="1:17" s="1" customFormat="1" ht="12.75" customHeight="1" x14ac:dyDescent="0.2">
      <c r="A111" s="26" t="s">
        <v>1087</v>
      </c>
      <c r="B111" s="26" t="s">
        <v>723</v>
      </c>
      <c r="C111" s="30" t="s">
        <v>50</v>
      </c>
      <c r="D111" s="35" t="s">
        <v>508</v>
      </c>
      <c r="E111" s="70">
        <v>0.25</v>
      </c>
      <c r="F111" s="38">
        <v>8</v>
      </c>
      <c r="G111" s="38">
        <v>2</v>
      </c>
      <c r="H111" s="38">
        <v>0.9</v>
      </c>
      <c r="I111" s="38" t="s">
        <v>1088</v>
      </c>
      <c r="J111" s="34">
        <f>IFERROR(_xlfn.XLOOKUP(I111,Index!$A:$A,Index!$B:$B),"")</f>
        <v>271</v>
      </c>
    </row>
    <row r="112" spans="1:17" s="1" customFormat="1" ht="12.75" customHeight="1" x14ac:dyDescent="0.2">
      <c r="A112" s="26"/>
      <c r="B112" s="26"/>
      <c r="C112" s="30"/>
      <c r="D112" s="35" t="s">
        <v>53</v>
      </c>
      <c r="E112" s="70">
        <v>0.25</v>
      </c>
      <c r="F112" s="38">
        <v>8</v>
      </c>
      <c r="G112" s="38">
        <v>2</v>
      </c>
      <c r="H112" s="38">
        <v>0.9</v>
      </c>
      <c r="I112" s="38" t="s">
        <v>1089</v>
      </c>
      <c r="J112" s="34">
        <f>IFERROR(_xlfn.XLOOKUP(I112,Index!$A:$A,Index!$B:$B),"")</f>
        <v>285.5</v>
      </c>
    </row>
    <row r="113" spans="1:10" s="1" customFormat="1" ht="12" x14ac:dyDescent="0.2">
      <c r="A113" s="26"/>
      <c r="B113" s="26"/>
      <c r="C113" s="30"/>
      <c r="D113" s="35" t="s">
        <v>55</v>
      </c>
      <c r="E113" s="70">
        <v>0.25</v>
      </c>
      <c r="F113" s="38">
        <v>8</v>
      </c>
      <c r="G113" s="38">
        <v>2</v>
      </c>
      <c r="H113" s="38">
        <v>0.9</v>
      </c>
      <c r="I113" s="38" t="s">
        <v>1090</v>
      </c>
      <c r="J113" s="34">
        <f>IFERROR(_xlfn.XLOOKUP(I113,Index!$A:$A,Index!$B:$B),"")</f>
        <v>285.5</v>
      </c>
    </row>
    <row r="114" spans="1:10" s="1" customFormat="1" ht="12" x14ac:dyDescent="0.2">
      <c r="A114" s="26"/>
      <c r="B114" s="26"/>
      <c r="C114" s="30"/>
      <c r="D114" s="35" t="s">
        <v>508</v>
      </c>
      <c r="E114" s="64">
        <v>0.375</v>
      </c>
      <c r="F114" s="98">
        <v>10</v>
      </c>
      <c r="G114" s="35">
        <v>2</v>
      </c>
      <c r="H114" s="40">
        <v>0.9</v>
      </c>
      <c r="I114" s="38" t="s">
        <v>1091</v>
      </c>
      <c r="J114" s="34">
        <f>IFERROR(_xlfn.XLOOKUP(I114,Index!$A:$A,Index!$B:$B),"")</f>
        <v>271</v>
      </c>
    </row>
    <row r="115" spans="1:10" s="1" customFormat="1" ht="12.75" customHeight="1" x14ac:dyDescent="0.2">
      <c r="A115" s="26"/>
      <c r="B115" s="26"/>
      <c r="C115" s="30"/>
      <c r="D115" s="35" t="s">
        <v>53</v>
      </c>
      <c r="E115" s="64">
        <v>0.375</v>
      </c>
      <c r="F115" s="98">
        <v>10</v>
      </c>
      <c r="G115" s="35">
        <v>2</v>
      </c>
      <c r="H115" s="40">
        <v>0.9</v>
      </c>
      <c r="I115" s="38" t="s">
        <v>1092</v>
      </c>
      <c r="J115" s="34">
        <f>IFERROR(_xlfn.XLOOKUP(I115,Index!$A:$A,Index!$B:$B),"")</f>
        <v>285.5</v>
      </c>
    </row>
    <row r="116" spans="1:10" s="1" customFormat="1" ht="12.75" customHeight="1" x14ac:dyDescent="0.2">
      <c r="A116" s="26"/>
      <c r="B116" s="26"/>
      <c r="C116" s="30"/>
      <c r="D116" s="35" t="s">
        <v>55</v>
      </c>
      <c r="E116" s="64">
        <v>0.375</v>
      </c>
      <c r="F116" s="98">
        <v>10</v>
      </c>
      <c r="G116" s="35">
        <v>2</v>
      </c>
      <c r="H116" s="40">
        <v>0.9</v>
      </c>
      <c r="I116" s="38" t="s">
        <v>1093</v>
      </c>
      <c r="J116" s="34">
        <f>IFERROR(_xlfn.XLOOKUP(I116,Index!$A:$A,Index!$B:$B),"")</f>
        <v>285.5</v>
      </c>
    </row>
    <row r="117" spans="1:10" s="1" customFormat="1" ht="12.75" customHeight="1" x14ac:dyDescent="0.2">
      <c r="A117" s="26"/>
      <c r="B117" s="26"/>
      <c r="C117" s="30"/>
      <c r="D117" s="35" t="s">
        <v>508</v>
      </c>
      <c r="E117" s="64">
        <v>0.5</v>
      </c>
      <c r="F117" s="98">
        <v>15</v>
      </c>
      <c r="G117" s="35">
        <v>2</v>
      </c>
      <c r="H117" s="40">
        <v>0.9</v>
      </c>
      <c r="I117" s="38" t="s">
        <v>1094</v>
      </c>
      <c r="J117" s="34">
        <f>IFERROR(_xlfn.XLOOKUP(I117,Index!$A:$A,Index!$B:$B),"")</f>
        <v>285.5</v>
      </c>
    </row>
    <row r="118" spans="1:10" s="1" customFormat="1" ht="12.75" customHeight="1" x14ac:dyDescent="0.2">
      <c r="A118" s="26"/>
      <c r="B118" s="26"/>
      <c r="C118" s="30"/>
      <c r="D118" s="35" t="s">
        <v>53</v>
      </c>
      <c r="E118" s="64">
        <v>0.5</v>
      </c>
      <c r="F118" s="98">
        <v>15</v>
      </c>
      <c r="G118" s="35">
        <v>2</v>
      </c>
      <c r="H118" s="40">
        <v>0.9</v>
      </c>
      <c r="I118" s="38" t="s">
        <v>1095</v>
      </c>
      <c r="J118" s="34">
        <f>IFERROR(_xlfn.XLOOKUP(I118,Index!$A:$A,Index!$B:$B),"")</f>
        <v>299</v>
      </c>
    </row>
    <row r="119" spans="1:10" s="1" customFormat="1" ht="12.75" customHeight="1" x14ac:dyDescent="0.2">
      <c r="A119" s="26"/>
      <c r="B119" s="26"/>
      <c r="C119" s="30"/>
      <c r="D119" s="35" t="s">
        <v>55</v>
      </c>
      <c r="E119" s="64">
        <v>0.5</v>
      </c>
      <c r="F119" s="98">
        <v>15</v>
      </c>
      <c r="G119" s="35">
        <v>2</v>
      </c>
      <c r="H119" s="40">
        <v>0.9</v>
      </c>
      <c r="I119" s="38" t="s">
        <v>1096</v>
      </c>
      <c r="J119" s="34">
        <f>IFERROR(_xlfn.XLOOKUP(I119,Index!$A:$A,Index!$B:$B),"")</f>
        <v>299</v>
      </c>
    </row>
    <row r="120" spans="1:10" s="1" customFormat="1" ht="12.75" customHeight="1" x14ac:dyDescent="0.2">
      <c r="A120" s="26"/>
      <c r="B120" s="26"/>
      <c r="C120" s="30"/>
      <c r="D120" s="35" t="s">
        <v>508</v>
      </c>
      <c r="E120" s="64">
        <v>0.75</v>
      </c>
      <c r="F120" s="98">
        <v>20</v>
      </c>
      <c r="G120" s="35">
        <v>3</v>
      </c>
      <c r="H120" s="40">
        <v>1.4</v>
      </c>
      <c r="I120" s="38" t="s">
        <v>1097</v>
      </c>
      <c r="J120" s="34">
        <f>IFERROR(_xlfn.XLOOKUP(I120,Index!$A:$A,Index!$B:$B),"")</f>
        <v>349</v>
      </c>
    </row>
    <row r="121" spans="1:10" s="1" customFormat="1" ht="12.75" customHeight="1" x14ac:dyDescent="0.2">
      <c r="A121" s="26"/>
      <c r="B121" s="26"/>
      <c r="C121" s="30"/>
      <c r="D121" s="35" t="s">
        <v>53</v>
      </c>
      <c r="E121" s="64">
        <v>0.75</v>
      </c>
      <c r="F121" s="98">
        <v>20</v>
      </c>
      <c r="G121" s="35">
        <v>3</v>
      </c>
      <c r="H121" s="40">
        <v>1.4</v>
      </c>
      <c r="I121" s="38" t="s">
        <v>1098</v>
      </c>
      <c r="J121" s="34">
        <f>IFERROR(_xlfn.XLOOKUP(I121,Index!$A:$A,Index!$B:$B),"")</f>
        <v>365.5</v>
      </c>
    </row>
    <row r="122" spans="1:10" s="1" customFormat="1" ht="12.75" customHeight="1" x14ac:dyDescent="0.2">
      <c r="A122" s="26"/>
      <c r="B122" s="26"/>
      <c r="C122" s="30"/>
      <c r="D122" s="35" t="s">
        <v>55</v>
      </c>
      <c r="E122" s="64">
        <v>0.75</v>
      </c>
      <c r="F122" s="98">
        <v>20</v>
      </c>
      <c r="G122" s="35">
        <v>3</v>
      </c>
      <c r="H122" s="40">
        <v>1.4</v>
      </c>
      <c r="I122" s="38" t="s">
        <v>1099</v>
      </c>
      <c r="J122" s="34">
        <f>IFERROR(_xlfn.XLOOKUP(I122,Index!$A:$A,Index!$B:$B),"")</f>
        <v>365.5</v>
      </c>
    </row>
    <row r="123" spans="1:10" s="1" customFormat="1" ht="12.75" customHeight="1" x14ac:dyDescent="0.2">
      <c r="A123" s="26"/>
      <c r="B123" s="26"/>
      <c r="C123" s="30"/>
      <c r="D123" s="35" t="s">
        <v>508</v>
      </c>
      <c r="E123" s="36">
        <v>1</v>
      </c>
      <c r="F123" s="98">
        <v>25</v>
      </c>
      <c r="G123" s="35">
        <v>5</v>
      </c>
      <c r="H123" s="40">
        <v>2.2999999999999998</v>
      </c>
      <c r="I123" s="38" t="s">
        <v>1100</v>
      </c>
      <c r="J123" s="34">
        <f>IFERROR(_xlfn.XLOOKUP(I123,Index!$A:$A,Index!$B:$B),"")</f>
        <v>515.5</v>
      </c>
    </row>
    <row r="124" spans="1:10" s="1" customFormat="1" ht="12.75" customHeight="1" x14ac:dyDescent="0.2">
      <c r="A124" s="26"/>
      <c r="B124" s="26"/>
      <c r="C124" s="30"/>
      <c r="D124" s="35" t="s">
        <v>53</v>
      </c>
      <c r="E124" s="36">
        <v>1</v>
      </c>
      <c r="F124" s="98">
        <v>25</v>
      </c>
      <c r="G124" s="35">
        <v>5</v>
      </c>
      <c r="H124" s="40">
        <v>2.2999999999999998</v>
      </c>
      <c r="I124" s="38" t="s">
        <v>1101</v>
      </c>
      <c r="J124" s="34">
        <f>IFERROR(_xlfn.XLOOKUP(I124,Index!$A:$A,Index!$B:$B),"")</f>
        <v>541.5</v>
      </c>
    </row>
    <row r="125" spans="1:10" s="1" customFormat="1" ht="12.75" customHeight="1" x14ac:dyDescent="0.2">
      <c r="A125" s="26"/>
      <c r="B125" s="26"/>
      <c r="C125" s="30"/>
      <c r="D125" s="35" t="s">
        <v>55</v>
      </c>
      <c r="E125" s="36">
        <v>1</v>
      </c>
      <c r="F125" s="98">
        <v>25</v>
      </c>
      <c r="G125" s="35">
        <v>5</v>
      </c>
      <c r="H125" s="40">
        <v>2.2999999999999998</v>
      </c>
      <c r="I125" s="38" t="s">
        <v>1102</v>
      </c>
      <c r="J125" s="34">
        <f>IFERROR(_xlfn.XLOOKUP(I125,Index!$A:$A,Index!$B:$B),"")</f>
        <v>541.5</v>
      </c>
    </row>
    <row r="126" spans="1:10" s="1" customFormat="1" ht="12.75" customHeight="1" x14ac:dyDescent="0.2">
      <c r="A126" s="26"/>
      <c r="B126" s="26"/>
      <c r="C126" s="30"/>
      <c r="D126" s="35" t="s">
        <v>508</v>
      </c>
      <c r="E126" s="64">
        <v>1.25</v>
      </c>
      <c r="F126" s="98">
        <v>32</v>
      </c>
      <c r="G126" s="35">
        <v>7</v>
      </c>
      <c r="H126" s="40">
        <v>3.2</v>
      </c>
      <c r="I126" s="38" t="s">
        <v>1103</v>
      </c>
      <c r="J126" s="34">
        <f>IFERROR(_xlfn.XLOOKUP(I126,Index!$A:$A,Index!$B:$B),"")</f>
        <v>622.5</v>
      </c>
    </row>
    <row r="127" spans="1:10" s="1" customFormat="1" ht="12.75" customHeight="1" x14ac:dyDescent="0.2">
      <c r="A127" s="26"/>
      <c r="B127" s="26"/>
      <c r="C127" s="30"/>
      <c r="D127" s="35" t="s">
        <v>53</v>
      </c>
      <c r="E127" s="64">
        <v>1.25</v>
      </c>
      <c r="F127" s="98">
        <v>32</v>
      </c>
      <c r="G127" s="35">
        <v>7</v>
      </c>
      <c r="H127" s="40">
        <v>3.2</v>
      </c>
      <c r="I127" s="38" t="s">
        <v>1104</v>
      </c>
      <c r="J127" s="34">
        <f>IFERROR(_xlfn.XLOOKUP(I127,Index!$A:$A,Index!$B:$B),"")</f>
        <v>654.5</v>
      </c>
    </row>
    <row r="128" spans="1:10" s="1" customFormat="1" ht="12.75" customHeight="1" x14ac:dyDescent="0.2">
      <c r="A128" s="26"/>
      <c r="B128" s="26"/>
      <c r="C128" s="30"/>
      <c r="D128" s="35" t="s">
        <v>55</v>
      </c>
      <c r="E128" s="64">
        <v>1.25</v>
      </c>
      <c r="F128" s="98">
        <v>32</v>
      </c>
      <c r="G128" s="35">
        <v>7</v>
      </c>
      <c r="H128" s="40">
        <v>3.2</v>
      </c>
      <c r="I128" s="38" t="s">
        <v>1105</v>
      </c>
      <c r="J128" s="34">
        <f>IFERROR(_xlfn.XLOOKUP(I128,Index!$A:$A,Index!$B:$B),"")</f>
        <v>654.5</v>
      </c>
    </row>
    <row r="129" spans="1:17" s="1" customFormat="1" ht="12.75" customHeight="1" x14ac:dyDescent="0.2">
      <c r="A129" s="26"/>
      <c r="B129" s="26"/>
      <c r="C129" s="30"/>
      <c r="D129" s="35" t="s">
        <v>508</v>
      </c>
      <c r="E129" s="64">
        <v>1.5</v>
      </c>
      <c r="F129" s="98">
        <v>40</v>
      </c>
      <c r="G129" s="35">
        <v>10</v>
      </c>
      <c r="H129" s="40">
        <v>4.5</v>
      </c>
      <c r="I129" s="38" t="s">
        <v>1106</v>
      </c>
      <c r="J129" s="34">
        <f>IFERROR(_xlfn.XLOOKUP(I129,Index!$A:$A,Index!$B:$B),"")</f>
        <v>899</v>
      </c>
    </row>
    <row r="130" spans="1:17" s="1" customFormat="1" ht="12.75" customHeight="1" x14ac:dyDescent="0.2">
      <c r="A130" s="26"/>
      <c r="B130" s="26"/>
      <c r="C130" s="30"/>
      <c r="D130" s="35" t="s">
        <v>53</v>
      </c>
      <c r="E130" s="64">
        <v>1.5</v>
      </c>
      <c r="F130" s="98">
        <v>40</v>
      </c>
      <c r="G130" s="35">
        <v>10</v>
      </c>
      <c r="H130" s="40">
        <v>4.5</v>
      </c>
      <c r="I130" s="38" t="s">
        <v>1107</v>
      </c>
      <c r="J130" s="34">
        <f>IFERROR(_xlfn.XLOOKUP(I130,Index!$A:$A,Index!$B:$B),"")</f>
        <v>1006</v>
      </c>
    </row>
    <row r="131" spans="1:17" s="1" customFormat="1" ht="12.75" customHeight="1" x14ac:dyDescent="0.2">
      <c r="A131" s="26"/>
      <c r="B131" s="26"/>
      <c r="C131" s="26"/>
      <c r="D131" s="35" t="s">
        <v>55</v>
      </c>
      <c r="E131" s="64">
        <v>1.5</v>
      </c>
      <c r="F131" s="98">
        <v>40</v>
      </c>
      <c r="G131" s="35">
        <v>10</v>
      </c>
      <c r="H131" s="40">
        <v>4.5</v>
      </c>
      <c r="I131" s="38" t="s">
        <v>1108</v>
      </c>
      <c r="J131" s="34">
        <f>IFERROR(_xlfn.XLOOKUP(I131,Index!$A:$A,Index!$B:$B),"")</f>
        <v>943.5</v>
      </c>
    </row>
    <row r="132" spans="1:17" s="79" customFormat="1" ht="12" x14ac:dyDescent="0.2">
      <c r="A132" s="26"/>
      <c r="B132" s="26"/>
      <c r="C132" s="26"/>
      <c r="D132" s="35" t="s">
        <v>508</v>
      </c>
      <c r="E132" s="36">
        <v>2</v>
      </c>
      <c r="F132" s="98">
        <v>50</v>
      </c>
      <c r="G132" s="35">
        <v>15</v>
      </c>
      <c r="H132" s="40">
        <v>6.8</v>
      </c>
      <c r="I132" s="38" t="s">
        <v>1109</v>
      </c>
      <c r="J132" s="34">
        <f>IFERROR(_xlfn.XLOOKUP(I132,Index!$A:$A,Index!$B:$B),"")</f>
        <v>1334</v>
      </c>
      <c r="K132" s="1"/>
      <c r="L132" s="1"/>
      <c r="M132" s="1"/>
      <c r="N132" s="1"/>
      <c r="O132" s="1"/>
      <c r="P132" s="1"/>
      <c r="Q132" s="1"/>
    </row>
    <row r="133" spans="1:17" s="1" customFormat="1" ht="12" x14ac:dyDescent="0.2">
      <c r="A133" s="26"/>
      <c r="B133" s="26"/>
      <c r="C133" s="26"/>
      <c r="D133" s="35" t="s">
        <v>53</v>
      </c>
      <c r="E133" s="36">
        <v>2</v>
      </c>
      <c r="F133" s="98">
        <v>50</v>
      </c>
      <c r="G133" s="35">
        <v>15</v>
      </c>
      <c r="H133" s="40">
        <v>6.8</v>
      </c>
      <c r="I133" s="38" t="s">
        <v>1110</v>
      </c>
      <c r="J133" s="34">
        <f>IFERROR(_xlfn.XLOOKUP(I133,Index!$A:$A,Index!$B:$B),"")</f>
        <v>1402</v>
      </c>
    </row>
    <row r="134" spans="1:17" s="1" customFormat="1" ht="12.75" customHeight="1" x14ac:dyDescent="0.2">
      <c r="A134" s="27"/>
      <c r="B134" s="27"/>
      <c r="C134" s="27"/>
      <c r="D134" s="35" t="s">
        <v>55</v>
      </c>
      <c r="E134" s="36">
        <v>2</v>
      </c>
      <c r="F134" s="98">
        <v>50</v>
      </c>
      <c r="G134" s="35">
        <v>15</v>
      </c>
      <c r="H134" s="40">
        <v>6.8</v>
      </c>
      <c r="I134" s="38" t="s">
        <v>1111</v>
      </c>
      <c r="J134" s="34">
        <f>IFERROR(_xlfn.XLOOKUP(I134,Index!$A:$A,Index!$B:$B),"")</f>
        <v>1402</v>
      </c>
    </row>
    <row r="135" spans="1:17" s="1" customFormat="1" ht="12.75" customHeight="1" x14ac:dyDescent="0.2">
      <c r="A135" s="12"/>
      <c r="B135" s="12"/>
      <c r="C135" s="4"/>
      <c r="D135" s="4"/>
      <c r="E135" s="5"/>
      <c r="F135" s="112"/>
      <c r="G135" s="4"/>
      <c r="H135" s="19"/>
      <c r="I135" s="19"/>
      <c r="J135" s="20"/>
    </row>
    <row r="136" spans="1:17" s="1" customFormat="1" ht="12.75" customHeight="1" x14ac:dyDescent="0.2">
      <c r="A136" s="12"/>
      <c r="B136" s="12"/>
      <c r="C136" s="4"/>
      <c r="D136" s="4"/>
      <c r="E136" s="5"/>
      <c r="F136" s="113"/>
      <c r="G136" s="4"/>
      <c r="H136" s="19"/>
      <c r="I136" s="19"/>
      <c r="J136" s="20"/>
    </row>
    <row r="137" spans="1:17" s="55" customFormat="1" ht="15.75" x14ac:dyDescent="0.2">
      <c r="A137" s="71" t="s">
        <v>1112</v>
      </c>
      <c r="B137" s="71" t="s">
        <v>650</v>
      </c>
      <c r="C137" s="72"/>
      <c r="D137" s="73"/>
      <c r="E137" s="74"/>
      <c r="F137" s="114"/>
      <c r="G137" s="115"/>
      <c r="H137" s="77"/>
      <c r="I137" s="77"/>
      <c r="J137" s="78"/>
      <c r="K137" s="1"/>
      <c r="L137" s="1"/>
      <c r="M137" s="1"/>
      <c r="N137" s="1"/>
      <c r="O137" s="1"/>
      <c r="P137" s="1"/>
      <c r="Q137" s="1"/>
    </row>
    <row r="138" spans="1:17" s="55" customFormat="1" ht="15.75" x14ac:dyDescent="0.2">
      <c r="A138" s="48" t="s">
        <v>1113</v>
      </c>
      <c r="B138" s="11"/>
      <c r="C138" s="4"/>
      <c r="D138" s="4"/>
      <c r="E138" s="5"/>
      <c r="F138" s="110"/>
      <c r="G138" s="4"/>
      <c r="H138" s="19"/>
      <c r="I138" s="19"/>
      <c r="J138" s="20"/>
      <c r="K138" s="1"/>
      <c r="L138" s="1"/>
      <c r="M138" s="1"/>
      <c r="N138" s="1"/>
      <c r="O138" s="1"/>
      <c r="P138" s="1"/>
      <c r="Q138" s="1"/>
    </row>
    <row r="139" spans="1:17" s="1" customFormat="1" ht="12.75" customHeight="1" x14ac:dyDescent="0.2">
      <c r="A139" s="25" t="s">
        <v>35</v>
      </c>
      <c r="B139" s="28" t="s">
        <v>36</v>
      </c>
      <c r="C139" s="333" t="s">
        <v>37</v>
      </c>
      <c r="D139" s="333"/>
      <c r="E139" s="335" t="s">
        <v>38</v>
      </c>
      <c r="F139" s="335"/>
      <c r="G139" s="335" t="s">
        <v>39</v>
      </c>
      <c r="H139" s="335"/>
      <c r="I139" s="42" t="s">
        <v>40</v>
      </c>
      <c r="J139" s="43" t="s">
        <v>41</v>
      </c>
    </row>
    <row r="140" spans="1:17" s="1" customFormat="1" ht="12.75" customHeight="1" x14ac:dyDescent="0.2">
      <c r="A140" s="32"/>
      <c r="B140" s="32"/>
      <c r="C140" s="33" t="s">
        <v>42</v>
      </c>
      <c r="D140" s="33" t="s">
        <v>43</v>
      </c>
      <c r="E140" s="33" t="s">
        <v>44</v>
      </c>
      <c r="F140" s="33" t="s">
        <v>45</v>
      </c>
      <c r="G140" s="33" t="s">
        <v>46</v>
      </c>
      <c r="H140" s="33" t="s">
        <v>47</v>
      </c>
      <c r="I140" s="33"/>
      <c r="J140" s="44"/>
    </row>
    <row r="141" spans="1:17" s="1" customFormat="1" ht="12.75" customHeight="1" x14ac:dyDescent="0.2">
      <c r="A141" s="26" t="s">
        <v>1114</v>
      </c>
      <c r="B141" s="26" t="s">
        <v>723</v>
      </c>
      <c r="C141" s="30" t="s">
        <v>50</v>
      </c>
      <c r="D141" s="35" t="s">
        <v>508</v>
      </c>
      <c r="E141" s="70">
        <v>0.25</v>
      </c>
      <c r="F141" s="38">
        <v>8</v>
      </c>
      <c r="G141" s="38">
        <v>2</v>
      </c>
      <c r="H141" s="38">
        <v>0.9</v>
      </c>
      <c r="I141" s="38" t="s">
        <v>1115</v>
      </c>
      <c r="J141" s="34">
        <f>IFERROR(_xlfn.XLOOKUP(I141,Index!$A:$A,Index!$B:$B),"")</f>
        <v>254.5</v>
      </c>
    </row>
    <row r="142" spans="1:17" s="1" customFormat="1" ht="12.75" customHeight="1" x14ac:dyDescent="0.2">
      <c r="A142" s="26"/>
      <c r="B142" s="26"/>
      <c r="C142" s="30"/>
      <c r="D142" s="35" t="s">
        <v>508</v>
      </c>
      <c r="E142" s="64">
        <v>0.375</v>
      </c>
      <c r="F142" s="116">
        <v>10</v>
      </c>
      <c r="G142" s="35">
        <v>2</v>
      </c>
      <c r="H142" s="40">
        <v>0.9</v>
      </c>
      <c r="I142" s="38" t="s">
        <v>1116</v>
      </c>
      <c r="J142" s="34">
        <f>IFERROR(_xlfn.XLOOKUP(I142,Index!$A:$A,Index!$B:$B),"")</f>
        <v>254.5</v>
      </c>
    </row>
    <row r="143" spans="1:17" s="1" customFormat="1" ht="12.75" customHeight="1" x14ac:dyDescent="0.2">
      <c r="A143" s="26"/>
      <c r="B143" s="26"/>
      <c r="C143" s="30"/>
      <c r="D143" s="35" t="s">
        <v>508</v>
      </c>
      <c r="E143" s="64">
        <v>0.5</v>
      </c>
      <c r="F143" s="116">
        <v>15</v>
      </c>
      <c r="G143" s="35">
        <v>2</v>
      </c>
      <c r="H143" s="40">
        <v>0.9</v>
      </c>
      <c r="I143" s="38" t="s">
        <v>1117</v>
      </c>
      <c r="J143" s="34">
        <f>IFERROR(_xlfn.XLOOKUP(I143,Index!$A:$A,Index!$B:$B),"")</f>
        <v>267.5</v>
      </c>
    </row>
    <row r="144" spans="1:17" s="1" customFormat="1" ht="12.75" customHeight="1" x14ac:dyDescent="0.2">
      <c r="A144" s="26"/>
      <c r="B144" s="26"/>
      <c r="C144" s="30"/>
      <c r="D144" s="35" t="s">
        <v>508</v>
      </c>
      <c r="E144" s="64">
        <v>0.75</v>
      </c>
      <c r="F144" s="116">
        <v>20</v>
      </c>
      <c r="G144" s="35">
        <v>3</v>
      </c>
      <c r="H144" s="40">
        <v>1.4</v>
      </c>
      <c r="I144" s="38" t="s">
        <v>1118</v>
      </c>
      <c r="J144" s="34">
        <f>IFERROR(_xlfn.XLOOKUP(I144,Index!$A:$A,Index!$B:$B),"")</f>
        <v>326.5</v>
      </c>
    </row>
    <row r="145" spans="1:10" s="1" customFormat="1" ht="12.75" customHeight="1" x14ac:dyDescent="0.2">
      <c r="A145" s="26"/>
      <c r="B145" s="26"/>
      <c r="C145" s="30"/>
      <c r="D145" s="35" t="s">
        <v>508</v>
      </c>
      <c r="E145" s="64">
        <v>1</v>
      </c>
      <c r="F145" s="116">
        <v>25</v>
      </c>
      <c r="G145" s="35">
        <v>5</v>
      </c>
      <c r="H145" s="40">
        <v>2.2999999999999998</v>
      </c>
      <c r="I145" s="38" t="s">
        <v>1119</v>
      </c>
      <c r="J145" s="34">
        <f>IFERROR(_xlfn.XLOOKUP(I145,Index!$A:$A,Index!$B:$B),"")</f>
        <v>483</v>
      </c>
    </row>
    <row r="146" spans="1:10" s="1" customFormat="1" ht="12.75" customHeight="1" x14ac:dyDescent="0.2">
      <c r="A146" s="26"/>
      <c r="B146" s="26"/>
      <c r="C146" s="30"/>
      <c r="D146" s="35" t="s">
        <v>508</v>
      </c>
      <c r="E146" s="64">
        <v>1.25</v>
      </c>
      <c r="F146" s="116">
        <v>32</v>
      </c>
      <c r="G146" s="35">
        <v>7</v>
      </c>
      <c r="H146" s="40">
        <v>3.2</v>
      </c>
      <c r="I146" s="38" t="s">
        <v>1120</v>
      </c>
      <c r="J146" s="34">
        <f>IFERROR(_xlfn.XLOOKUP(I146,Index!$A:$A,Index!$B:$B),"")</f>
        <v>584</v>
      </c>
    </row>
    <row r="147" spans="1:10" s="1" customFormat="1" ht="12" x14ac:dyDescent="0.2">
      <c r="A147" s="26"/>
      <c r="B147" s="26"/>
      <c r="C147" s="30"/>
      <c r="D147" s="35" t="s">
        <v>508</v>
      </c>
      <c r="E147" s="64">
        <v>1.5</v>
      </c>
      <c r="F147" s="116">
        <v>40</v>
      </c>
      <c r="G147" s="35">
        <v>10</v>
      </c>
      <c r="H147" s="40">
        <v>4.5</v>
      </c>
      <c r="I147" s="38" t="s">
        <v>1121</v>
      </c>
      <c r="J147" s="34">
        <f>IFERROR(_xlfn.XLOOKUP(I147,Index!$A:$A,Index!$B:$B),"")</f>
        <v>842.5</v>
      </c>
    </row>
    <row r="148" spans="1:10" s="1" customFormat="1" ht="12.75" customHeight="1" x14ac:dyDescent="0.2">
      <c r="A148" s="27"/>
      <c r="B148" s="27"/>
      <c r="C148" s="31"/>
      <c r="D148" s="35" t="s">
        <v>508</v>
      </c>
      <c r="E148" s="64">
        <v>2</v>
      </c>
      <c r="F148" s="116">
        <v>50</v>
      </c>
      <c r="G148" s="35">
        <v>15</v>
      </c>
      <c r="H148" s="40">
        <v>6.8</v>
      </c>
      <c r="I148" s="38" t="s">
        <v>1122</v>
      </c>
      <c r="J148" s="34">
        <f>IFERROR(_xlfn.XLOOKUP(I148,Index!$A:$A,Index!$B:$B),"")</f>
        <v>1250</v>
      </c>
    </row>
    <row r="149" spans="1:10" s="1" customFormat="1" ht="12.75" customHeight="1" x14ac:dyDescent="0.2">
      <c r="A149" s="12"/>
      <c r="B149" s="12"/>
      <c r="C149" s="4"/>
      <c r="D149" s="4"/>
      <c r="E149" s="5"/>
      <c r="F149" s="113"/>
      <c r="G149" s="4"/>
      <c r="H149" s="19"/>
      <c r="I149" s="19"/>
      <c r="J149" s="20"/>
    </row>
    <row r="150" spans="1:10" s="1" customFormat="1" ht="12.75" customHeight="1" x14ac:dyDescent="0.2">
      <c r="A150" s="12"/>
      <c r="B150" s="12"/>
      <c r="C150" s="4"/>
      <c r="D150" s="4"/>
      <c r="E150" s="5"/>
      <c r="F150" s="113"/>
      <c r="G150" s="4"/>
      <c r="H150" s="19"/>
      <c r="I150" s="19"/>
      <c r="J150" s="20"/>
    </row>
    <row r="151" spans="1:10" s="264" customFormat="1" ht="15.75" x14ac:dyDescent="0.2">
      <c r="A151" s="217" t="s">
        <v>24</v>
      </c>
      <c r="B151" s="47"/>
      <c r="C151" s="47"/>
      <c r="D151" s="258"/>
      <c r="E151" s="259"/>
      <c r="F151" s="271"/>
      <c r="G151" s="272"/>
      <c r="H151" s="262"/>
      <c r="I151" s="262"/>
      <c r="J151" s="263"/>
    </row>
    <row r="152" spans="1:10" s="264" customFormat="1" ht="15.75" x14ac:dyDescent="0.2">
      <c r="A152" s="48" t="s">
        <v>102</v>
      </c>
      <c r="B152" s="217"/>
      <c r="C152" s="265"/>
      <c r="D152" s="265"/>
      <c r="E152" s="266"/>
      <c r="F152" s="271"/>
      <c r="G152" s="265"/>
      <c r="H152" s="262"/>
      <c r="I152" s="262"/>
      <c r="J152" s="263"/>
    </row>
    <row r="153" spans="1:10" s="1" customFormat="1" ht="12.75" customHeight="1" x14ac:dyDescent="0.2">
      <c r="A153" s="25" t="s">
        <v>35</v>
      </c>
      <c r="B153" s="28" t="s">
        <v>103</v>
      </c>
      <c r="C153" s="335" t="s">
        <v>38</v>
      </c>
      <c r="D153" s="335"/>
      <c r="E153" s="42" t="s">
        <v>40</v>
      </c>
      <c r="F153" s="43" t="s">
        <v>41</v>
      </c>
    </row>
    <row r="154" spans="1:10" s="1" customFormat="1" ht="12.75" customHeight="1" x14ac:dyDescent="0.2">
      <c r="A154" s="32"/>
      <c r="B154" s="32"/>
      <c r="C154" s="33" t="s">
        <v>44</v>
      </c>
      <c r="D154" s="33" t="s">
        <v>45</v>
      </c>
      <c r="E154" s="33"/>
      <c r="F154" s="44"/>
    </row>
    <row r="155" spans="1:10" s="1" customFormat="1" ht="12.75" customHeight="1" x14ac:dyDescent="0.2">
      <c r="A155" s="60" t="s">
        <v>5558</v>
      </c>
      <c r="B155" s="60" t="s">
        <v>104</v>
      </c>
      <c r="C155" s="70">
        <v>0.25</v>
      </c>
      <c r="D155" s="38">
        <v>8</v>
      </c>
      <c r="E155" s="35" t="s">
        <v>687</v>
      </c>
      <c r="F155" s="34">
        <f>IFERROR(_xlfn.XLOOKUP(E155,Index!$A:$A,Index!$B:$B),"")</f>
        <v>6.5</v>
      </c>
    </row>
    <row r="156" spans="1:10" s="1" customFormat="1" ht="12.75" customHeight="1" x14ac:dyDescent="0.2">
      <c r="A156" s="26"/>
      <c r="B156" s="26"/>
      <c r="C156" s="64">
        <v>0.375</v>
      </c>
      <c r="D156" s="116">
        <v>10</v>
      </c>
      <c r="E156" s="35" t="s">
        <v>687</v>
      </c>
      <c r="F156" s="34">
        <f>IFERROR(_xlfn.XLOOKUP(E156,Index!$A:$A,Index!$B:$B),"")</f>
        <v>6.5</v>
      </c>
    </row>
    <row r="157" spans="1:10" s="1" customFormat="1" ht="12.75" customHeight="1" x14ac:dyDescent="0.2">
      <c r="A157" s="26"/>
      <c r="B157" s="26"/>
      <c r="C157" s="64">
        <v>0.5</v>
      </c>
      <c r="D157" s="116">
        <v>15</v>
      </c>
      <c r="E157" s="35" t="s">
        <v>687</v>
      </c>
      <c r="F157" s="34">
        <f>IFERROR(_xlfn.XLOOKUP(E157,Index!$A:$A,Index!$B:$B),"")</f>
        <v>6.5</v>
      </c>
    </row>
    <row r="158" spans="1:10" s="1" customFormat="1" ht="12.75" customHeight="1" x14ac:dyDescent="0.2">
      <c r="A158" s="26"/>
      <c r="B158" s="26"/>
      <c r="C158" s="64">
        <v>0.75</v>
      </c>
      <c r="D158" s="116">
        <v>20</v>
      </c>
      <c r="E158" s="35" t="s">
        <v>688</v>
      </c>
      <c r="F158" s="34">
        <f>IFERROR(_xlfn.XLOOKUP(E158,Index!$A:$A,Index!$B:$B),"")</f>
        <v>7</v>
      </c>
    </row>
    <row r="159" spans="1:10" s="1" customFormat="1" ht="12.75" customHeight="1" x14ac:dyDescent="0.2">
      <c r="A159" s="26"/>
      <c r="B159" s="26"/>
      <c r="C159" s="64">
        <v>1</v>
      </c>
      <c r="D159" s="116">
        <v>25</v>
      </c>
      <c r="E159" s="35" t="s">
        <v>689</v>
      </c>
      <c r="F159" s="34">
        <f>IFERROR(_xlfn.XLOOKUP(E159,Index!$A:$A,Index!$B:$B),"")</f>
        <v>7</v>
      </c>
    </row>
    <row r="160" spans="1:10" s="1" customFormat="1" ht="12.75" customHeight="1" x14ac:dyDescent="0.2">
      <c r="A160" s="26"/>
      <c r="B160" s="26"/>
      <c r="C160" s="64">
        <v>1.25</v>
      </c>
      <c r="D160" s="116">
        <v>32</v>
      </c>
      <c r="E160" s="35" t="s">
        <v>690</v>
      </c>
      <c r="F160" s="34">
        <f>IFERROR(_xlfn.XLOOKUP(E160,Index!$A:$A,Index!$B:$B),"")</f>
        <v>7</v>
      </c>
    </row>
    <row r="161" spans="1:6" s="1" customFormat="1" ht="12.75" customHeight="1" x14ac:dyDescent="0.2">
      <c r="A161" s="26"/>
      <c r="B161" s="26"/>
      <c r="C161" s="64">
        <v>1.5</v>
      </c>
      <c r="D161" s="116">
        <v>40</v>
      </c>
      <c r="E161" s="35" t="s">
        <v>691</v>
      </c>
      <c r="F161" s="34">
        <f>IFERROR(_xlfn.XLOOKUP(E161,Index!$A:$A,Index!$B:$B),"")</f>
        <v>10</v>
      </c>
    </row>
    <row r="162" spans="1:6" s="1" customFormat="1" ht="12.75" customHeight="1" x14ac:dyDescent="0.2">
      <c r="A162" s="26"/>
      <c r="B162" s="26"/>
      <c r="C162" s="64">
        <v>2</v>
      </c>
      <c r="D162" s="116">
        <v>50</v>
      </c>
      <c r="E162" s="35" t="s">
        <v>1084</v>
      </c>
      <c r="F162" s="34">
        <f>IFERROR(_xlfn.XLOOKUP(E162,Index!$A:$A,Index!$B:$B),"")</f>
        <v>1334</v>
      </c>
    </row>
    <row r="163" spans="1:6" s="1" customFormat="1" ht="12.75" customHeight="1" x14ac:dyDescent="0.2">
      <c r="A163" s="26"/>
      <c r="B163" s="60" t="s">
        <v>210</v>
      </c>
      <c r="C163" s="70">
        <v>0.25</v>
      </c>
      <c r="D163" s="38">
        <v>8</v>
      </c>
      <c r="E163" s="35" t="s">
        <v>6340</v>
      </c>
      <c r="F163" s="34">
        <f>IFERROR(_xlfn.XLOOKUP(E163,Index!$A:$A,Index!$B:$B),"")</f>
        <v>22.25</v>
      </c>
    </row>
    <row r="164" spans="1:6" s="1" customFormat="1" ht="12.75" customHeight="1" x14ac:dyDescent="0.2">
      <c r="A164" s="26"/>
      <c r="B164" s="26"/>
      <c r="C164" s="64">
        <v>0.375</v>
      </c>
      <c r="D164" s="116">
        <v>10</v>
      </c>
      <c r="E164" s="35" t="s">
        <v>6340</v>
      </c>
      <c r="F164" s="34">
        <f>IFERROR(_xlfn.XLOOKUP(E164,Index!$A:$A,Index!$B:$B),"")</f>
        <v>22.25</v>
      </c>
    </row>
    <row r="165" spans="1:6" s="1" customFormat="1" ht="12.75" customHeight="1" x14ac:dyDescent="0.2">
      <c r="A165" s="26"/>
      <c r="B165" s="26"/>
      <c r="C165" s="64">
        <v>0.5</v>
      </c>
      <c r="D165" s="116">
        <v>15</v>
      </c>
      <c r="E165" s="35" t="s">
        <v>6340</v>
      </c>
      <c r="F165" s="34">
        <f>IFERROR(_xlfn.XLOOKUP(E165,Index!$A:$A,Index!$B:$B),"")</f>
        <v>22.25</v>
      </c>
    </row>
    <row r="166" spans="1:6" s="1" customFormat="1" ht="12.75" customHeight="1" x14ac:dyDescent="0.2">
      <c r="A166" s="26"/>
      <c r="B166" s="26"/>
      <c r="C166" s="64">
        <v>0.75</v>
      </c>
      <c r="D166" s="116">
        <v>20</v>
      </c>
      <c r="E166" s="35" t="s">
        <v>693</v>
      </c>
      <c r="F166" s="34">
        <f>IFERROR(_xlfn.XLOOKUP(E166,Index!$A:$A,Index!$B:$B),"")</f>
        <v>24.75</v>
      </c>
    </row>
    <row r="167" spans="1:6" s="1" customFormat="1" ht="12.75" customHeight="1" x14ac:dyDescent="0.2">
      <c r="A167" s="26"/>
      <c r="B167" s="26"/>
      <c r="C167" s="64">
        <v>1</v>
      </c>
      <c r="D167" s="116">
        <v>25</v>
      </c>
      <c r="E167" s="35" t="s">
        <v>694</v>
      </c>
      <c r="F167" s="34">
        <f>IFERROR(_xlfn.XLOOKUP(E167,Index!$A:$A,Index!$B:$B),"")</f>
        <v>24.75</v>
      </c>
    </row>
    <row r="168" spans="1:6" s="1" customFormat="1" ht="12.75" customHeight="1" x14ac:dyDescent="0.2">
      <c r="A168" s="26"/>
      <c r="B168" s="26"/>
      <c r="C168" s="64">
        <v>1.25</v>
      </c>
      <c r="D168" s="116">
        <v>32</v>
      </c>
      <c r="E168" s="35" t="s">
        <v>6341</v>
      </c>
      <c r="F168" s="34">
        <f>IFERROR(_xlfn.XLOOKUP(E168,Index!$A:$A,Index!$B:$B),"")</f>
        <v>24.75</v>
      </c>
    </row>
    <row r="169" spans="1:6" s="1" customFormat="1" ht="12.75" customHeight="1" x14ac:dyDescent="0.2">
      <c r="A169" s="26"/>
      <c r="B169" s="26"/>
      <c r="C169" s="64">
        <v>1.5</v>
      </c>
      <c r="D169" s="116">
        <v>40</v>
      </c>
      <c r="E169" s="35" t="s">
        <v>6342</v>
      </c>
      <c r="F169" s="34">
        <f>IFERROR(_xlfn.XLOOKUP(E169,Index!$A:$A,Index!$B:$B),"")</f>
        <v>29.75</v>
      </c>
    </row>
    <row r="170" spans="1:6" s="1" customFormat="1" ht="12.75" customHeight="1" x14ac:dyDescent="0.2">
      <c r="A170" s="26"/>
      <c r="B170" s="26"/>
      <c r="C170" s="64">
        <v>2</v>
      </c>
      <c r="D170" s="116">
        <v>50</v>
      </c>
      <c r="E170" s="35" t="s">
        <v>695</v>
      </c>
      <c r="F170" s="34">
        <f>IFERROR(_xlfn.XLOOKUP(E170,Index!$A:$A,Index!$B:$B),"")</f>
        <v>33.5</v>
      </c>
    </row>
    <row r="171" spans="1:6" s="1" customFormat="1" ht="12.75" customHeight="1" x14ac:dyDescent="0.2">
      <c r="A171" s="26"/>
      <c r="B171" s="60" t="s">
        <v>122</v>
      </c>
      <c r="C171" s="70">
        <v>0.25</v>
      </c>
      <c r="D171" s="38">
        <v>8</v>
      </c>
      <c r="E171" s="35" t="s">
        <v>696</v>
      </c>
      <c r="F171" s="34">
        <f>IFERROR(_xlfn.XLOOKUP(E171,Index!$A:$A,Index!$B:$B),"")</f>
        <v>63.5</v>
      </c>
    </row>
    <row r="172" spans="1:6" s="1" customFormat="1" ht="12.75" customHeight="1" x14ac:dyDescent="0.2">
      <c r="A172" s="26"/>
      <c r="B172" s="26"/>
      <c r="C172" s="64">
        <v>0.375</v>
      </c>
      <c r="D172" s="116">
        <v>10</v>
      </c>
      <c r="E172" s="35" t="s">
        <v>696</v>
      </c>
      <c r="F172" s="34">
        <f>IFERROR(_xlfn.XLOOKUP(E172,Index!$A:$A,Index!$B:$B),"")</f>
        <v>63.5</v>
      </c>
    </row>
    <row r="173" spans="1:6" s="1" customFormat="1" ht="12.75" customHeight="1" x14ac:dyDescent="0.2">
      <c r="A173" s="26"/>
      <c r="B173" s="26"/>
      <c r="C173" s="64">
        <v>0.5</v>
      </c>
      <c r="D173" s="116">
        <v>15</v>
      </c>
      <c r="E173" s="35" t="s">
        <v>696</v>
      </c>
      <c r="F173" s="34">
        <f>IFERROR(_xlfn.XLOOKUP(E173,Index!$A:$A,Index!$B:$B),"")</f>
        <v>63.5</v>
      </c>
    </row>
    <row r="174" spans="1:6" s="1" customFormat="1" ht="12.75" customHeight="1" x14ac:dyDescent="0.2">
      <c r="A174" s="26"/>
      <c r="B174" s="26"/>
      <c r="C174" s="64">
        <v>0.75</v>
      </c>
      <c r="D174" s="116">
        <v>20</v>
      </c>
      <c r="E174" s="35" t="s">
        <v>697</v>
      </c>
      <c r="F174" s="34">
        <f>IFERROR(_xlfn.XLOOKUP(E174,Index!$A:$A,Index!$B:$B),"")</f>
        <v>80.5</v>
      </c>
    </row>
    <row r="175" spans="1:6" s="1" customFormat="1" ht="12.75" customHeight="1" x14ac:dyDescent="0.2">
      <c r="A175" s="26"/>
      <c r="B175" s="26"/>
      <c r="C175" s="64">
        <v>1</v>
      </c>
      <c r="D175" s="116">
        <v>25</v>
      </c>
      <c r="E175" s="35" t="s">
        <v>698</v>
      </c>
      <c r="F175" s="34">
        <f>IFERROR(_xlfn.XLOOKUP(E175,Index!$A:$A,Index!$B:$B),"")</f>
        <v>80.5</v>
      </c>
    </row>
    <row r="176" spans="1:6" s="1" customFormat="1" ht="12.75" customHeight="1" x14ac:dyDescent="0.2">
      <c r="A176" s="26"/>
      <c r="B176" s="26"/>
      <c r="C176" s="64">
        <v>1.25</v>
      </c>
      <c r="D176" s="116">
        <v>32</v>
      </c>
      <c r="E176" s="35" t="s">
        <v>699</v>
      </c>
      <c r="F176" s="34">
        <f>IFERROR(_xlfn.XLOOKUP(E176,Index!$A:$A,Index!$B:$B),"")</f>
        <v>80.5</v>
      </c>
    </row>
    <row r="177" spans="1:6" s="1" customFormat="1" ht="12.75" customHeight="1" x14ac:dyDescent="0.2">
      <c r="A177" s="26"/>
      <c r="B177" s="26"/>
      <c r="C177" s="64">
        <v>1.5</v>
      </c>
      <c r="D177" s="116">
        <v>40</v>
      </c>
      <c r="E177" s="35" t="s">
        <v>700</v>
      </c>
      <c r="F177" s="34">
        <f>IFERROR(_xlfn.XLOOKUP(E177,Index!$A:$A,Index!$B:$B),"")</f>
        <v>88.5</v>
      </c>
    </row>
    <row r="178" spans="1:6" s="1" customFormat="1" ht="12.75" customHeight="1" x14ac:dyDescent="0.2">
      <c r="A178" s="26"/>
      <c r="B178" s="26"/>
      <c r="C178" s="64">
        <v>2</v>
      </c>
      <c r="D178" s="116">
        <v>50</v>
      </c>
      <c r="E178" s="35" t="s">
        <v>701</v>
      </c>
      <c r="F178" s="34">
        <f>IFERROR(_xlfn.XLOOKUP(E178,Index!$A:$A,Index!$B:$B),"")</f>
        <v>88.5</v>
      </c>
    </row>
    <row r="179" spans="1:6" s="1" customFormat="1" ht="12.75" customHeight="1" x14ac:dyDescent="0.2">
      <c r="A179" s="26"/>
      <c r="B179" s="60" t="s">
        <v>134</v>
      </c>
      <c r="C179" s="70">
        <v>0.25</v>
      </c>
      <c r="D179" s="38">
        <v>8</v>
      </c>
      <c r="E179" s="35" t="s">
        <v>702</v>
      </c>
      <c r="F179" s="34">
        <f>IFERROR(_xlfn.XLOOKUP(E179,Index!$A:$A,Index!$B:$B),"")</f>
        <v>63.5</v>
      </c>
    </row>
    <row r="180" spans="1:6" s="1" customFormat="1" ht="12.75" customHeight="1" x14ac:dyDescent="0.2">
      <c r="A180" s="26"/>
      <c r="B180" s="26"/>
      <c r="C180" s="64">
        <v>0.375</v>
      </c>
      <c r="D180" s="116">
        <v>10</v>
      </c>
      <c r="E180" s="35" t="s">
        <v>702</v>
      </c>
      <c r="F180" s="34">
        <f>IFERROR(_xlfn.XLOOKUP(E180,Index!$A:$A,Index!$B:$B),"")</f>
        <v>63.5</v>
      </c>
    </row>
    <row r="181" spans="1:6" s="1" customFormat="1" ht="12.75" customHeight="1" x14ac:dyDescent="0.2">
      <c r="A181" s="26"/>
      <c r="B181" s="26"/>
      <c r="C181" s="64">
        <v>0.5</v>
      </c>
      <c r="D181" s="116">
        <v>15</v>
      </c>
      <c r="E181" s="35" t="s">
        <v>702</v>
      </c>
      <c r="F181" s="34">
        <f>IFERROR(_xlfn.XLOOKUP(E181,Index!$A:$A,Index!$B:$B),"")</f>
        <v>63.5</v>
      </c>
    </row>
    <row r="182" spans="1:6" s="1" customFormat="1" ht="12.75" customHeight="1" x14ac:dyDescent="0.2">
      <c r="A182" s="26"/>
      <c r="B182" s="26"/>
      <c r="C182" s="64">
        <v>0.75</v>
      </c>
      <c r="D182" s="116">
        <v>20</v>
      </c>
      <c r="E182" s="35" t="s">
        <v>703</v>
      </c>
      <c r="F182" s="34">
        <f>IFERROR(_xlfn.XLOOKUP(E182,Index!$A:$A,Index!$B:$B),"")</f>
        <v>80.5</v>
      </c>
    </row>
    <row r="183" spans="1:6" s="1" customFormat="1" ht="12.75" customHeight="1" x14ac:dyDescent="0.2">
      <c r="A183" s="26"/>
      <c r="B183" s="26"/>
      <c r="C183" s="64">
        <v>1</v>
      </c>
      <c r="D183" s="116">
        <v>25</v>
      </c>
      <c r="E183" s="35" t="s">
        <v>704</v>
      </c>
      <c r="F183" s="34">
        <f>IFERROR(_xlfn.XLOOKUP(E183,Index!$A:$A,Index!$B:$B),"")</f>
        <v>80.5</v>
      </c>
    </row>
    <row r="184" spans="1:6" s="1" customFormat="1" ht="12.75" customHeight="1" x14ac:dyDescent="0.2">
      <c r="A184" s="26"/>
      <c r="B184" s="26"/>
      <c r="C184" s="64">
        <v>1.25</v>
      </c>
      <c r="D184" s="116">
        <v>32</v>
      </c>
      <c r="E184" s="35" t="s">
        <v>705</v>
      </c>
      <c r="F184" s="34">
        <f>IFERROR(_xlfn.XLOOKUP(E184,Index!$A:$A,Index!$B:$B),"")</f>
        <v>80.5</v>
      </c>
    </row>
    <row r="185" spans="1:6" s="1" customFormat="1" ht="12.75" customHeight="1" x14ac:dyDescent="0.2">
      <c r="A185" s="26"/>
      <c r="B185" s="26"/>
      <c r="C185" s="64">
        <v>1.5</v>
      </c>
      <c r="D185" s="116">
        <v>40</v>
      </c>
      <c r="E185" s="35" t="s">
        <v>706</v>
      </c>
      <c r="F185" s="34">
        <f>IFERROR(_xlfn.XLOOKUP(E185,Index!$A:$A,Index!$B:$B),"")</f>
        <v>88.5</v>
      </c>
    </row>
    <row r="186" spans="1:6" s="1" customFormat="1" ht="12.75" customHeight="1" x14ac:dyDescent="0.2">
      <c r="A186" s="26"/>
      <c r="B186" s="26"/>
      <c r="C186" s="64">
        <v>2</v>
      </c>
      <c r="D186" s="116">
        <v>50</v>
      </c>
      <c r="E186" s="35" t="s">
        <v>707</v>
      </c>
      <c r="F186" s="34">
        <f>IFERROR(_xlfn.XLOOKUP(E186,Index!$A:$A,Index!$B:$B),"")</f>
        <v>88.5</v>
      </c>
    </row>
    <row r="187" spans="1:6" s="1" customFormat="1" ht="12.75" customHeight="1" x14ac:dyDescent="0.2">
      <c r="A187" s="26"/>
      <c r="B187" s="60" t="s">
        <v>145</v>
      </c>
      <c r="C187" s="70">
        <v>0.25</v>
      </c>
      <c r="D187" s="38">
        <v>8</v>
      </c>
      <c r="E187" s="35" t="s">
        <v>708</v>
      </c>
      <c r="F187" s="34">
        <f>IFERROR(_xlfn.XLOOKUP(E187,Index!$A:$A,Index!$B:$B),"")</f>
        <v>57.5</v>
      </c>
    </row>
    <row r="188" spans="1:6" s="1" customFormat="1" ht="12.75" customHeight="1" x14ac:dyDescent="0.2">
      <c r="A188" s="26"/>
      <c r="B188" s="26"/>
      <c r="C188" s="64">
        <v>0.375</v>
      </c>
      <c r="D188" s="116">
        <v>10</v>
      </c>
      <c r="E188" s="35" t="s">
        <v>708</v>
      </c>
      <c r="F188" s="34">
        <f>IFERROR(_xlfn.XLOOKUP(E188,Index!$A:$A,Index!$B:$B),"")</f>
        <v>57.5</v>
      </c>
    </row>
    <row r="189" spans="1:6" s="1" customFormat="1" ht="12.75" customHeight="1" x14ac:dyDescent="0.2">
      <c r="A189" s="26"/>
      <c r="B189" s="26"/>
      <c r="C189" s="64">
        <v>0.5</v>
      </c>
      <c r="D189" s="116">
        <v>15</v>
      </c>
      <c r="E189" s="35" t="s">
        <v>708</v>
      </c>
      <c r="F189" s="34">
        <f>IFERROR(_xlfn.XLOOKUP(E189,Index!$A:$A,Index!$B:$B),"")</f>
        <v>57.5</v>
      </c>
    </row>
    <row r="190" spans="1:6" s="1" customFormat="1" ht="12.75" customHeight="1" x14ac:dyDescent="0.2">
      <c r="A190" s="26"/>
      <c r="B190" s="26"/>
      <c r="C190" s="64">
        <v>0.75</v>
      </c>
      <c r="D190" s="116">
        <v>20</v>
      </c>
      <c r="E190" s="35" t="s">
        <v>2849</v>
      </c>
      <c r="F190" s="34">
        <f>IFERROR(_xlfn.XLOOKUP(E190,Index!$A:$A,Index!$B:$B),"")</f>
        <v>80.5</v>
      </c>
    </row>
    <row r="191" spans="1:6" s="1" customFormat="1" ht="12.75" customHeight="1" x14ac:dyDescent="0.2">
      <c r="A191" s="26"/>
      <c r="B191" s="26"/>
      <c r="C191" s="64">
        <v>1</v>
      </c>
      <c r="D191" s="116">
        <v>25</v>
      </c>
      <c r="E191" s="35" t="s">
        <v>709</v>
      </c>
      <c r="F191" s="34">
        <f>IFERROR(_xlfn.XLOOKUP(E191,Index!$A:$A,Index!$B:$B),"")</f>
        <v>80.5</v>
      </c>
    </row>
    <row r="192" spans="1:6" s="1" customFormat="1" ht="12.75" customHeight="1" x14ac:dyDescent="0.2">
      <c r="A192" s="26"/>
      <c r="B192" s="26"/>
      <c r="C192" s="64">
        <v>1.25</v>
      </c>
      <c r="D192" s="116">
        <v>32</v>
      </c>
      <c r="E192" s="35" t="s">
        <v>710</v>
      </c>
      <c r="F192" s="34">
        <f>IFERROR(_xlfn.XLOOKUP(E192,Index!$A:$A,Index!$B:$B),"")</f>
        <v>80.5</v>
      </c>
    </row>
    <row r="193" spans="1:13" s="1" customFormat="1" ht="12.75" customHeight="1" x14ac:dyDescent="0.2">
      <c r="A193" s="26"/>
      <c r="B193" s="26"/>
      <c r="C193" s="64">
        <v>1.5</v>
      </c>
      <c r="D193" s="116">
        <v>40</v>
      </c>
      <c r="E193" s="35" t="s">
        <v>711</v>
      </c>
      <c r="F193" s="34">
        <f>IFERROR(_xlfn.XLOOKUP(E193,Index!$A:$A,Index!$B:$B),"")</f>
        <v>88.5</v>
      </c>
    </row>
    <row r="194" spans="1:13" s="1" customFormat="1" ht="12.75" customHeight="1" x14ac:dyDescent="0.2">
      <c r="A194" s="26"/>
      <c r="B194" s="26"/>
      <c r="C194" s="64">
        <v>2</v>
      </c>
      <c r="D194" s="116">
        <v>50</v>
      </c>
      <c r="E194" s="35" t="s">
        <v>712</v>
      </c>
      <c r="F194" s="34">
        <f>IFERROR(_xlfn.XLOOKUP(E194,Index!$A:$A,Index!$B:$B),"")</f>
        <v>88.5</v>
      </c>
    </row>
    <row r="195" spans="1:13" s="1" customFormat="1" ht="12.75" customHeight="1" x14ac:dyDescent="0.2">
      <c r="A195" s="26"/>
      <c r="B195" s="60" t="s">
        <v>155</v>
      </c>
      <c r="C195" s="70">
        <v>0.25</v>
      </c>
      <c r="D195" s="38">
        <v>8</v>
      </c>
      <c r="E195" s="35" t="s">
        <v>713</v>
      </c>
      <c r="F195" s="34">
        <f>IFERROR(_xlfn.XLOOKUP(E195,Index!$A:$A,Index!$B:$B),"")</f>
        <v>57.5</v>
      </c>
    </row>
    <row r="196" spans="1:13" s="1" customFormat="1" ht="12.75" customHeight="1" x14ac:dyDescent="0.2">
      <c r="A196" s="26"/>
      <c r="B196" s="26"/>
      <c r="C196" s="64">
        <v>0.375</v>
      </c>
      <c r="D196" s="116">
        <v>10</v>
      </c>
      <c r="E196" s="35" t="s">
        <v>713</v>
      </c>
      <c r="F196" s="34">
        <f>IFERROR(_xlfn.XLOOKUP(E196,Index!$A:$A,Index!$B:$B),"")</f>
        <v>57.5</v>
      </c>
    </row>
    <row r="197" spans="1:13" s="1" customFormat="1" ht="12.75" customHeight="1" x14ac:dyDescent="0.2">
      <c r="A197" s="26"/>
      <c r="B197" s="26"/>
      <c r="C197" s="64">
        <v>0.5</v>
      </c>
      <c r="D197" s="116">
        <v>15</v>
      </c>
      <c r="E197" s="35" t="s">
        <v>713</v>
      </c>
      <c r="F197" s="34">
        <f>IFERROR(_xlfn.XLOOKUP(E197,Index!$A:$A,Index!$B:$B),"")</f>
        <v>57.5</v>
      </c>
    </row>
    <row r="198" spans="1:13" s="1" customFormat="1" ht="12.75" customHeight="1" x14ac:dyDescent="0.2">
      <c r="A198" s="26"/>
      <c r="B198" s="26"/>
      <c r="C198" s="64">
        <v>0.75</v>
      </c>
      <c r="D198" s="116">
        <v>20</v>
      </c>
      <c r="E198" s="35" t="s">
        <v>714</v>
      </c>
      <c r="F198" s="34">
        <f>IFERROR(_xlfn.XLOOKUP(E198,Index!$A:$A,Index!$B:$B),"")</f>
        <v>80.5</v>
      </c>
    </row>
    <row r="199" spans="1:13" s="1" customFormat="1" ht="12.75" customHeight="1" x14ac:dyDescent="0.2">
      <c r="A199" s="26"/>
      <c r="B199" s="26"/>
      <c r="C199" s="64">
        <v>1</v>
      </c>
      <c r="D199" s="116">
        <v>25</v>
      </c>
      <c r="E199" s="35" t="s">
        <v>715</v>
      </c>
      <c r="F199" s="34">
        <f>IFERROR(_xlfn.XLOOKUP(E199,Index!$A:$A,Index!$B:$B),"")</f>
        <v>80.5</v>
      </c>
    </row>
    <row r="200" spans="1:13" s="1" customFormat="1" ht="12.75" customHeight="1" x14ac:dyDescent="0.2">
      <c r="A200" s="26"/>
      <c r="B200" s="26"/>
      <c r="C200" s="64">
        <v>1.25</v>
      </c>
      <c r="D200" s="116">
        <v>32</v>
      </c>
      <c r="E200" s="35" t="s">
        <v>716</v>
      </c>
      <c r="F200" s="34">
        <f>IFERROR(_xlfn.XLOOKUP(E200,Index!$A:$A,Index!$B:$B),"")</f>
        <v>80.5</v>
      </c>
    </row>
    <row r="201" spans="1:13" s="1" customFormat="1" ht="12.75" customHeight="1" x14ac:dyDescent="0.2">
      <c r="A201" s="26"/>
      <c r="B201" s="26"/>
      <c r="C201" s="64">
        <v>1.5</v>
      </c>
      <c r="D201" s="116">
        <v>40</v>
      </c>
      <c r="E201" s="35" t="s">
        <v>717</v>
      </c>
      <c r="F201" s="34">
        <f>IFERROR(_xlfn.XLOOKUP(E201,Index!$A:$A,Index!$B:$B),"")</f>
        <v>88.5</v>
      </c>
    </row>
    <row r="202" spans="1:13" s="1" customFormat="1" ht="12.75" customHeight="1" x14ac:dyDescent="0.2">
      <c r="A202" s="26"/>
      <c r="B202" s="27"/>
      <c r="C202" s="64">
        <v>2</v>
      </c>
      <c r="D202" s="116">
        <v>50</v>
      </c>
      <c r="E202" s="35" t="s">
        <v>718</v>
      </c>
      <c r="F202" s="34">
        <f>IFERROR(_xlfn.XLOOKUP(E202,Index!$A:$A,Index!$B:$B),"")</f>
        <v>88.5</v>
      </c>
    </row>
    <row r="203" spans="1:13" s="1" customFormat="1" ht="12.75" customHeight="1" x14ac:dyDescent="0.2">
      <c r="A203" s="26"/>
      <c r="B203" s="60" t="s">
        <v>719</v>
      </c>
      <c r="C203" s="70">
        <v>0.25</v>
      </c>
      <c r="D203" s="38">
        <v>8</v>
      </c>
      <c r="E203" s="35" t="s">
        <v>835</v>
      </c>
      <c r="F203" s="34">
        <f>IFERROR(_xlfn.XLOOKUP(E203,Index!$A:$A,Index!$B:$B),"")</f>
        <v>7</v>
      </c>
    </row>
    <row r="204" spans="1:13" s="1" customFormat="1" ht="12.75" customHeight="1" x14ac:dyDescent="0.2">
      <c r="A204" s="26"/>
      <c r="B204" s="26"/>
      <c r="C204" s="64">
        <v>0.375</v>
      </c>
      <c r="D204" s="116">
        <v>10</v>
      </c>
      <c r="E204" s="35" t="s">
        <v>835</v>
      </c>
      <c r="F204" s="34">
        <f>IFERROR(_xlfn.XLOOKUP(E204,Index!$A:$A,Index!$B:$B),"")</f>
        <v>7</v>
      </c>
    </row>
    <row r="205" spans="1:13" s="1" customFormat="1" ht="12.75" customHeight="1" x14ac:dyDescent="0.2">
      <c r="A205" s="26"/>
      <c r="B205" s="26"/>
      <c r="C205" s="64">
        <v>0.5</v>
      </c>
      <c r="D205" s="116">
        <v>15</v>
      </c>
      <c r="E205" s="35" t="s">
        <v>835</v>
      </c>
      <c r="F205" s="34">
        <f>IFERROR(_xlfn.XLOOKUP(E205,Index!$A:$A,Index!$B:$B),"")</f>
        <v>7</v>
      </c>
    </row>
    <row r="206" spans="1:13" x14ac:dyDescent="0.25">
      <c r="A206" s="26"/>
      <c r="B206" s="26"/>
      <c r="C206" s="64">
        <v>0.75</v>
      </c>
      <c r="D206" s="116">
        <v>20</v>
      </c>
      <c r="E206" s="35" t="s">
        <v>836</v>
      </c>
      <c r="F206" s="34">
        <f>IFERROR(_xlfn.XLOOKUP(E206,Index!$A:$A,Index!$B:$B),"")</f>
        <v>7</v>
      </c>
      <c r="G206" s="1"/>
      <c r="H206" s="1"/>
      <c r="I206" s="1"/>
      <c r="J206" s="1"/>
      <c r="K206" s="1"/>
      <c r="L206" s="1"/>
      <c r="M206" s="1"/>
    </row>
    <row r="207" spans="1:13" s="1" customFormat="1" ht="12" x14ac:dyDescent="0.2">
      <c r="A207" s="26"/>
      <c r="B207" s="26"/>
      <c r="C207" s="64">
        <v>1</v>
      </c>
      <c r="D207" s="116">
        <v>25</v>
      </c>
      <c r="E207" s="35" t="s">
        <v>836</v>
      </c>
      <c r="F207" s="34">
        <f>IFERROR(_xlfn.XLOOKUP(E207,Index!$A:$A,Index!$B:$B),"")</f>
        <v>7</v>
      </c>
    </row>
    <row r="208" spans="1:13" s="1" customFormat="1" ht="12" x14ac:dyDescent="0.2">
      <c r="A208" s="26"/>
      <c r="B208" s="26"/>
      <c r="C208" s="64">
        <v>1.25</v>
      </c>
      <c r="D208" s="116">
        <v>32</v>
      </c>
      <c r="E208" s="35" t="s">
        <v>838</v>
      </c>
      <c r="F208" s="34">
        <f>IFERROR(_xlfn.XLOOKUP(E208,Index!$A:$A,Index!$B:$B),"")</f>
        <v>33.25</v>
      </c>
    </row>
    <row r="209" spans="1:10" s="1" customFormat="1" ht="12.75" customHeight="1" x14ac:dyDescent="0.2">
      <c r="A209" s="26"/>
      <c r="B209" s="26"/>
      <c r="C209" s="64">
        <v>1.5</v>
      </c>
      <c r="D209" s="116">
        <v>40</v>
      </c>
      <c r="E209" s="35" t="s">
        <v>838</v>
      </c>
      <c r="F209" s="34">
        <f>IFERROR(_xlfn.XLOOKUP(E209,Index!$A:$A,Index!$B:$B),"")</f>
        <v>33.25</v>
      </c>
    </row>
    <row r="210" spans="1:10" s="1" customFormat="1" ht="12.75" customHeight="1" x14ac:dyDescent="0.2">
      <c r="A210" s="27"/>
      <c r="B210" s="27"/>
      <c r="C210" s="64">
        <v>2</v>
      </c>
      <c r="D210" s="116">
        <v>50</v>
      </c>
      <c r="E210" s="35" t="s">
        <v>5557</v>
      </c>
      <c r="F210" s="34">
        <f>IFERROR(_xlfn.XLOOKUP(E210,Index!$A:$A,Index!$B:$B),"")</f>
        <v>52.5</v>
      </c>
    </row>
    <row r="211" spans="1:10" s="1" customFormat="1" ht="12.75" customHeight="1" x14ac:dyDescent="0.25">
      <c r="A211"/>
      <c r="B211"/>
      <c r="C211"/>
      <c r="D211"/>
      <c r="E211"/>
      <c r="F211"/>
      <c r="G211"/>
      <c r="H211"/>
      <c r="I211"/>
      <c r="J211"/>
    </row>
    <row r="212" spans="1:10" s="1" customFormat="1" ht="15.75" x14ac:dyDescent="0.2">
      <c r="A212" s="62" t="s">
        <v>25</v>
      </c>
      <c r="B212" s="62" t="s">
        <v>650</v>
      </c>
      <c r="C212" s="14"/>
      <c r="D212" s="3"/>
      <c r="E212" s="8"/>
      <c r="F212" s="110"/>
      <c r="G212" s="111"/>
      <c r="H212" s="19"/>
      <c r="I212" s="19"/>
      <c r="J212" s="20"/>
    </row>
    <row r="213" spans="1:10" s="1" customFormat="1" ht="15.75" x14ac:dyDescent="0.2">
      <c r="A213" s="48" t="s">
        <v>1123</v>
      </c>
      <c r="B213" s="11"/>
      <c r="C213" s="4"/>
      <c r="D213" s="4"/>
      <c r="E213" s="5"/>
      <c r="F213" s="110"/>
      <c r="G213" s="4"/>
      <c r="H213" s="19"/>
      <c r="I213" s="19"/>
      <c r="J213" s="20"/>
    </row>
    <row r="214" spans="1:10" s="1" customFormat="1" ht="12.75" customHeight="1" x14ac:dyDescent="0.2">
      <c r="A214" s="25" t="s">
        <v>35</v>
      </c>
      <c r="B214" s="28" t="s">
        <v>36</v>
      </c>
      <c r="C214" s="333" t="s">
        <v>37</v>
      </c>
      <c r="D214" s="333"/>
      <c r="E214" s="335" t="s">
        <v>38</v>
      </c>
      <c r="F214" s="335"/>
      <c r="G214" s="335" t="s">
        <v>39</v>
      </c>
      <c r="H214" s="335"/>
      <c r="I214" s="42" t="s">
        <v>40</v>
      </c>
      <c r="J214" s="43" t="s">
        <v>41</v>
      </c>
    </row>
    <row r="215" spans="1:10" s="1" customFormat="1" ht="12.75" customHeight="1" x14ac:dyDescent="0.2">
      <c r="A215" s="32"/>
      <c r="B215" s="32"/>
      <c r="C215" s="33" t="s">
        <v>42</v>
      </c>
      <c r="D215" s="33" t="s">
        <v>43</v>
      </c>
      <c r="E215" s="33" t="s">
        <v>44</v>
      </c>
      <c r="F215" s="33" t="s">
        <v>45</v>
      </c>
      <c r="G215" s="33" t="s">
        <v>46</v>
      </c>
      <c r="H215" s="33" t="s">
        <v>47</v>
      </c>
      <c r="I215" s="33"/>
      <c r="J215" s="44"/>
    </row>
    <row r="216" spans="1:10" s="1" customFormat="1" ht="12.75" customHeight="1" x14ac:dyDescent="0.2">
      <c r="A216" s="26" t="s">
        <v>1124</v>
      </c>
      <c r="B216" s="26" t="s">
        <v>49</v>
      </c>
      <c r="C216" s="30" t="s">
        <v>50</v>
      </c>
      <c r="D216" s="35" t="s">
        <v>508</v>
      </c>
      <c r="E216" s="70">
        <v>0.25</v>
      </c>
      <c r="F216" s="38">
        <v>8</v>
      </c>
      <c r="G216" s="38">
        <v>3</v>
      </c>
      <c r="H216" s="38">
        <v>1.4</v>
      </c>
      <c r="I216" s="38" t="s">
        <v>1125</v>
      </c>
      <c r="J216" s="34">
        <f>IFERROR(_xlfn.XLOOKUP(I216,Index!$A:$A,Index!$B:$B),"")</f>
        <v>889</v>
      </c>
    </row>
    <row r="217" spans="1:10" s="1" customFormat="1" ht="12.75" customHeight="1" x14ac:dyDescent="0.2">
      <c r="A217" s="26"/>
      <c r="B217" s="26"/>
      <c r="C217" s="30"/>
      <c r="D217" s="35" t="s">
        <v>508</v>
      </c>
      <c r="E217" s="64">
        <v>0.375</v>
      </c>
      <c r="F217" s="116">
        <v>10</v>
      </c>
      <c r="G217" s="35">
        <v>4</v>
      </c>
      <c r="H217" s="40">
        <v>1.8</v>
      </c>
      <c r="I217" s="38" t="s">
        <v>1126</v>
      </c>
      <c r="J217" s="34">
        <f>IFERROR(_xlfn.XLOOKUP(I217,Index!$A:$A,Index!$B:$B),"")</f>
        <v>889</v>
      </c>
    </row>
    <row r="218" spans="1:10" s="1" customFormat="1" ht="12.75" customHeight="1" x14ac:dyDescent="0.2">
      <c r="A218" s="26"/>
      <c r="B218" s="26"/>
      <c r="C218" s="30"/>
      <c r="D218" s="35" t="s">
        <v>508</v>
      </c>
      <c r="E218" s="64">
        <v>0.5</v>
      </c>
      <c r="F218" s="116">
        <v>15</v>
      </c>
      <c r="G218" s="35">
        <v>7</v>
      </c>
      <c r="H218" s="40">
        <v>3.2</v>
      </c>
      <c r="I218" s="38" t="s">
        <v>1127</v>
      </c>
      <c r="J218" s="34">
        <f>IFERROR(_xlfn.XLOOKUP(I218,Index!$A:$A,Index!$B:$B),"")</f>
        <v>889</v>
      </c>
    </row>
    <row r="219" spans="1:10" s="1" customFormat="1" ht="12.75" customHeight="1" x14ac:dyDescent="0.2">
      <c r="A219" s="26"/>
      <c r="B219" s="26"/>
      <c r="C219" s="30"/>
      <c r="D219" s="35" t="s">
        <v>508</v>
      </c>
      <c r="E219" s="64">
        <v>0.75</v>
      </c>
      <c r="F219" s="116">
        <v>20</v>
      </c>
      <c r="G219" s="35">
        <v>10</v>
      </c>
      <c r="H219" s="40">
        <v>4.5</v>
      </c>
      <c r="I219" s="38" t="s">
        <v>1128</v>
      </c>
      <c r="J219" s="34">
        <f>IFERROR(_xlfn.XLOOKUP(I219,Index!$A:$A,Index!$B:$B),"")</f>
        <v>1009</v>
      </c>
    </row>
    <row r="220" spans="1:10" s="1" customFormat="1" ht="12" x14ac:dyDescent="0.2">
      <c r="A220" s="26"/>
      <c r="B220" s="26"/>
      <c r="C220" s="30"/>
      <c r="D220" s="35" t="s">
        <v>508</v>
      </c>
      <c r="E220" s="64">
        <v>1</v>
      </c>
      <c r="F220" s="116">
        <v>25</v>
      </c>
      <c r="G220" s="35">
        <v>16</v>
      </c>
      <c r="H220" s="40">
        <v>7.3</v>
      </c>
      <c r="I220" s="38" t="s">
        <v>1129</v>
      </c>
      <c r="J220" s="34">
        <f>IFERROR(_xlfn.XLOOKUP(I220,Index!$A:$A,Index!$B:$B),"")</f>
        <v>1285</v>
      </c>
    </row>
    <row r="221" spans="1:10" s="1" customFormat="1" ht="12" x14ac:dyDescent="0.2">
      <c r="A221" s="26"/>
      <c r="B221" s="26"/>
      <c r="C221" s="30"/>
      <c r="D221" s="35" t="s">
        <v>508</v>
      </c>
      <c r="E221" s="64">
        <v>1.25</v>
      </c>
      <c r="F221" s="116">
        <v>32</v>
      </c>
      <c r="G221" s="35">
        <v>22</v>
      </c>
      <c r="H221" s="40">
        <v>10</v>
      </c>
      <c r="I221" s="38" t="s">
        <v>1130</v>
      </c>
      <c r="J221" s="34">
        <f>IFERROR(_xlfn.XLOOKUP(I221,Index!$A:$A,Index!$B:$B),"")</f>
        <v>1560</v>
      </c>
    </row>
    <row r="222" spans="1:10" s="1" customFormat="1" ht="12.75" customHeight="1" x14ac:dyDescent="0.2">
      <c r="A222" s="26"/>
      <c r="B222" s="26"/>
      <c r="C222" s="30"/>
      <c r="D222" s="35" t="s">
        <v>508</v>
      </c>
      <c r="E222" s="64">
        <v>1.5</v>
      </c>
      <c r="F222" s="116">
        <v>40</v>
      </c>
      <c r="G222" s="35">
        <v>43</v>
      </c>
      <c r="H222" s="40">
        <v>19.5</v>
      </c>
      <c r="I222" s="38" t="s">
        <v>1131</v>
      </c>
      <c r="J222" s="34">
        <f>IFERROR(_xlfn.XLOOKUP(I222,Index!$A:$A,Index!$B:$B),"")</f>
        <v>2140</v>
      </c>
    </row>
    <row r="223" spans="1:10" s="1" customFormat="1" ht="12.75" customHeight="1" x14ac:dyDescent="0.2">
      <c r="A223" s="27"/>
      <c r="B223" s="27"/>
      <c r="C223" s="31"/>
      <c r="D223" s="35" t="s">
        <v>508</v>
      </c>
      <c r="E223" s="64">
        <v>2</v>
      </c>
      <c r="F223" s="116">
        <v>50</v>
      </c>
      <c r="G223" s="35">
        <v>43</v>
      </c>
      <c r="H223" s="40">
        <v>19.5</v>
      </c>
      <c r="I223" s="38" t="s">
        <v>1132</v>
      </c>
      <c r="J223" s="34">
        <f>IFERROR(_xlfn.XLOOKUP(I223,Index!$A:$A,Index!$B:$B),"")</f>
        <v>2927</v>
      </c>
    </row>
    <row r="224" spans="1:10" s="1" customFormat="1" ht="12.75" customHeight="1" x14ac:dyDescent="0.2">
      <c r="A224" s="12"/>
      <c r="B224" s="12"/>
      <c r="C224" s="4"/>
      <c r="D224" s="4"/>
      <c r="E224" s="80"/>
      <c r="F224" s="117"/>
      <c r="G224" s="4"/>
      <c r="H224" s="19"/>
      <c r="I224" s="19"/>
      <c r="J224" s="84"/>
    </row>
    <row r="225" spans="1:16" s="1" customFormat="1" ht="15.75" x14ac:dyDescent="0.25">
      <c r="A225" s="62" t="s">
        <v>5801</v>
      </c>
      <c r="B225" s="62" t="s">
        <v>650</v>
      </c>
      <c r="C225" s="14"/>
      <c r="D225" s="3"/>
      <c r="E225" s="8"/>
      <c r="F225" s="9"/>
      <c r="G225" s="10"/>
      <c r="H225" s="19"/>
      <c r="I225" s="19"/>
      <c r="J225" s="20"/>
      <c r="K225"/>
      <c r="L225"/>
      <c r="M225"/>
      <c r="N225"/>
      <c r="O225"/>
      <c r="P225"/>
    </row>
    <row r="226" spans="1:16" s="1" customFormat="1" ht="15.75" x14ac:dyDescent="0.25">
      <c r="A226" s="48" t="s">
        <v>1123</v>
      </c>
      <c r="B226" s="11"/>
      <c r="C226" s="4"/>
      <c r="D226" s="4"/>
      <c r="E226" s="5"/>
      <c r="F226" s="9"/>
      <c r="G226" s="4"/>
      <c r="H226" s="19"/>
      <c r="I226" s="19"/>
      <c r="J226" s="20"/>
      <c r="K226"/>
      <c r="L226"/>
      <c r="M226"/>
      <c r="N226"/>
      <c r="O226"/>
      <c r="P226"/>
    </row>
    <row r="227" spans="1:16" s="1" customFormat="1" ht="12.75" customHeight="1" x14ac:dyDescent="0.25">
      <c r="A227" s="25" t="s">
        <v>35</v>
      </c>
      <c r="B227" s="28" t="s">
        <v>36</v>
      </c>
      <c r="C227" s="333" t="s">
        <v>37</v>
      </c>
      <c r="D227" s="334"/>
      <c r="E227" s="335" t="s">
        <v>38</v>
      </c>
      <c r="F227" s="336"/>
      <c r="G227" s="335" t="s">
        <v>39</v>
      </c>
      <c r="H227" s="336"/>
      <c r="I227" s="42" t="s">
        <v>40</v>
      </c>
      <c r="J227" s="43" t="s">
        <v>41</v>
      </c>
      <c r="K227"/>
      <c r="L227"/>
      <c r="M227"/>
      <c r="N227"/>
      <c r="O227"/>
      <c r="P227"/>
    </row>
    <row r="228" spans="1:16" s="1" customFormat="1" ht="12.75" customHeight="1" x14ac:dyDescent="0.25">
      <c r="A228" s="32"/>
      <c r="B228" s="32"/>
      <c r="C228" s="33" t="s">
        <v>42</v>
      </c>
      <c r="D228" s="33" t="s">
        <v>43</v>
      </c>
      <c r="E228" s="33" t="s">
        <v>44</v>
      </c>
      <c r="F228" s="33" t="s">
        <v>45</v>
      </c>
      <c r="G228" s="33" t="s">
        <v>46</v>
      </c>
      <c r="H228" s="33" t="s">
        <v>47</v>
      </c>
      <c r="I228" s="33"/>
      <c r="J228" s="44"/>
      <c r="K228"/>
      <c r="L228"/>
      <c r="M228"/>
      <c r="N228"/>
      <c r="O228"/>
      <c r="P228"/>
    </row>
    <row r="229" spans="1:16" s="1" customFormat="1" ht="12.75" customHeight="1" x14ac:dyDescent="0.25">
      <c r="A229" s="26" t="s">
        <v>5802</v>
      </c>
      <c r="B229" s="26" t="s">
        <v>49</v>
      </c>
      <c r="C229" s="30" t="s">
        <v>50</v>
      </c>
      <c r="D229" s="35" t="s">
        <v>508</v>
      </c>
      <c r="E229" s="64">
        <v>0.5</v>
      </c>
      <c r="F229" s="45">
        <v>15</v>
      </c>
      <c r="G229" s="35">
        <v>3</v>
      </c>
      <c r="H229" s="40">
        <v>1.4</v>
      </c>
      <c r="I229" s="38" t="s">
        <v>5803</v>
      </c>
      <c r="J229" s="34">
        <f>IFERROR(_xlfn.XLOOKUP(I229,Index!$A:$A,Index!$B:$B),"")</f>
        <v>1466</v>
      </c>
      <c r="K229"/>
      <c r="L229"/>
      <c r="M229"/>
      <c r="N229"/>
      <c r="O229"/>
      <c r="P229"/>
    </row>
    <row r="230" spans="1:16" s="1" customFormat="1" x14ac:dyDescent="0.25">
      <c r="A230" s="26"/>
      <c r="B230" s="26"/>
      <c r="C230" s="30"/>
      <c r="D230" s="35" t="s">
        <v>508</v>
      </c>
      <c r="E230" s="64">
        <v>0.75</v>
      </c>
      <c r="F230" s="45">
        <v>20</v>
      </c>
      <c r="G230" s="35">
        <v>4</v>
      </c>
      <c r="H230" s="40">
        <v>1.8</v>
      </c>
      <c r="I230" s="38" t="s">
        <v>5804</v>
      </c>
      <c r="J230" s="34">
        <f>IFERROR(_xlfn.XLOOKUP(I230,Index!$A:$A,Index!$B:$B),"")</f>
        <v>1612</v>
      </c>
      <c r="K230"/>
      <c r="L230"/>
      <c r="M230"/>
      <c r="N230"/>
      <c r="O230"/>
      <c r="P230"/>
    </row>
    <row r="231" spans="1:16" s="1" customFormat="1" x14ac:dyDescent="0.25">
      <c r="A231" s="26"/>
      <c r="B231" s="26"/>
      <c r="C231" s="30"/>
      <c r="D231" s="35" t="s">
        <v>508</v>
      </c>
      <c r="E231" s="64">
        <v>1</v>
      </c>
      <c r="F231" s="45">
        <v>25</v>
      </c>
      <c r="G231" s="35">
        <v>7</v>
      </c>
      <c r="H231" s="40">
        <v>3.2</v>
      </c>
      <c r="I231" s="38" t="s">
        <v>5805</v>
      </c>
      <c r="J231" s="34">
        <f>IFERROR(_xlfn.XLOOKUP(I231,Index!$A:$A,Index!$B:$B),"")</f>
        <v>1830</v>
      </c>
      <c r="K231"/>
      <c r="L231"/>
      <c r="M231"/>
      <c r="N231"/>
      <c r="O231"/>
      <c r="P231"/>
    </row>
    <row r="232" spans="1:16" s="1" customFormat="1" ht="12.75" customHeight="1" x14ac:dyDescent="0.25">
      <c r="A232" s="26"/>
      <c r="B232" s="26"/>
      <c r="C232" s="30"/>
      <c r="D232" s="35" t="s">
        <v>508</v>
      </c>
      <c r="E232" s="64">
        <v>1.25</v>
      </c>
      <c r="F232" s="45">
        <v>32</v>
      </c>
      <c r="G232" s="35">
        <v>10</v>
      </c>
      <c r="H232" s="40">
        <v>4.5</v>
      </c>
      <c r="I232" s="38" t="s">
        <v>5806</v>
      </c>
      <c r="J232" s="34">
        <f>IFERROR(_xlfn.XLOOKUP(I232,Index!$A:$A,Index!$B:$B),"")</f>
        <v>3018</v>
      </c>
      <c r="K232"/>
      <c r="L232"/>
      <c r="M232"/>
      <c r="N232"/>
      <c r="O232"/>
      <c r="P232"/>
    </row>
    <row r="233" spans="1:16" s="1" customFormat="1" ht="12.75" customHeight="1" x14ac:dyDescent="0.25">
      <c r="A233" s="26"/>
      <c r="B233" s="26"/>
      <c r="C233" s="30"/>
      <c r="D233" s="35" t="s">
        <v>508</v>
      </c>
      <c r="E233" s="64">
        <v>1.5</v>
      </c>
      <c r="F233" s="45">
        <v>40</v>
      </c>
      <c r="G233" s="35">
        <v>16</v>
      </c>
      <c r="H233" s="40">
        <v>7.3</v>
      </c>
      <c r="I233" s="38" t="s">
        <v>5807</v>
      </c>
      <c r="J233" s="34">
        <f>IFERROR(_xlfn.XLOOKUP(I233,Index!$A:$A,Index!$B:$B),"")</f>
        <v>3517</v>
      </c>
      <c r="K233"/>
      <c r="L233"/>
      <c r="M233"/>
      <c r="N233"/>
      <c r="O233"/>
      <c r="P233"/>
    </row>
    <row r="234" spans="1:16" s="1" customFormat="1" ht="12.75" customHeight="1" x14ac:dyDescent="0.25">
      <c r="A234" s="26"/>
      <c r="B234" s="26"/>
      <c r="C234" s="30"/>
      <c r="D234" s="35" t="s">
        <v>508</v>
      </c>
      <c r="E234" s="64">
        <v>2</v>
      </c>
      <c r="F234" s="45">
        <v>50</v>
      </c>
      <c r="G234" s="35">
        <v>22</v>
      </c>
      <c r="H234" s="40">
        <v>10</v>
      </c>
      <c r="I234" s="38" t="s">
        <v>5808</v>
      </c>
      <c r="J234" s="34">
        <f>IFERROR(_xlfn.XLOOKUP(I234,Index!$A:$A,Index!$B:$B),"")</f>
        <v>4659</v>
      </c>
      <c r="K234"/>
      <c r="L234"/>
      <c r="M234"/>
      <c r="N234"/>
      <c r="O234"/>
      <c r="P234"/>
    </row>
    <row r="235" spans="1:16" s="1" customFormat="1" ht="12.75" customHeight="1" x14ac:dyDescent="0.25">
      <c r="A235" s="26"/>
      <c r="B235" s="26"/>
      <c r="C235" s="30"/>
      <c r="D235" s="35" t="s">
        <v>508</v>
      </c>
      <c r="E235" s="64">
        <v>2.5</v>
      </c>
      <c r="F235" s="45">
        <v>65</v>
      </c>
      <c r="G235" s="35">
        <v>42</v>
      </c>
      <c r="H235" s="40">
        <v>19.100000000000001</v>
      </c>
      <c r="I235" s="38" t="s">
        <v>5809</v>
      </c>
      <c r="J235" s="34">
        <f>IFERROR(_xlfn.XLOOKUP(I235,Index!$A:$A,Index!$B:$B),"")</f>
        <v>6758</v>
      </c>
      <c r="K235"/>
      <c r="L235"/>
      <c r="M235"/>
      <c r="N235"/>
      <c r="O235"/>
      <c r="P235"/>
    </row>
    <row r="236" spans="1:16" s="1" customFormat="1" ht="12.75" customHeight="1" x14ac:dyDescent="0.25">
      <c r="A236" s="27"/>
      <c r="B236" s="27"/>
      <c r="C236" s="31"/>
      <c r="D236" s="35" t="s">
        <v>508</v>
      </c>
      <c r="E236" s="64">
        <v>3</v>
      </c>
      <c r="F236" s="45">
        <v>80</v>
      </c>
      <c r="G236" s="35">
        <v>43</v>
      </c>
      <c r="H236" s="40">
        <v>19.5</v>
      </c>
      <c r="I236" s="38" t="s">
        <v>5810</v>
      </c>
      <c r="J236" s="34">
        <f>IFERROR(_xlfn.XLOOKUP(I236,Index!$A:$A,Index!$B:$B),"")</f>
        <v>7304</v>
      </c>
      <c r="K236"/>
      <c r="L236"/>
      <c r="M236"/>
      <c r="N236"/>
      <c r="O236"/>
      <c r="P236"/>
    </row>
    <row r="237" spans="1:16" s="1" customFormat="1" ht="12.75" customHeight="1" x14ac:dyDescent="0.25">
      <c r="A237" s="12"/>
      <c r="B237" s="12"/>
      <c r="C237" s="4"/>
      <c r="D237" s="4"/>
      <c r="E237" s="5"/>
      <c r="F237" s="113"/>
      <c r="G237" s="4"/>
      <c r="H237" s="19"/>
      <c r="I237" s="19"/>
      <c r="J237" s="20"/>
      <c r="K237"/>
      <c r="L237"/>
      <c r="M237"/>
    </row>
    <row r="238" spans="1:16" s="1" customFormat="1" ht="12.75" customHeight="1" x14ac:dyDescent="0.25">
      <c r="A238" s="71" t="s">
        <v>26</v>
      </c>
      <c r="B238" s="71" t="s">
        <v>650</v>
      </c>
      <c r="C238" s="72"/>
      <c r="D238" s="73"/>
      <c r="E238" s="74"/>
      <c r="F238" s="114"/>
      <c r="G238" s="115"/>
      <c r="H238" s="77"/>
      <c r="I238" s="77"/>
      <c r="J238" s="78"/>
      <c r="K238"/>
      <c r="L238"/>
      <c r="M238"/>
    </row>
    <row r="239" spans="1:16" s="1" customFormat="1" ht="15.75" x14ac:dyDescent="0.25">
      <c r="A239" s="48" t="s">
        <v>1133</v>
      </c>
      <c r="B239" s="11"/>
      <c r="C239" s="4"/>
      <c r="D239" s="4"/>
      <c r="E239" s="5"/>
      <c r="F239" s="110"/>
      <c r="G239" s="4"/>
      <c r="H239" s="19"/>
      <c r="I239" s="19"/>
      <c r="J239" s="20"/>
      <c r="K239"/>
      <c r="L239"/>
      <c r="M239"/>
    </row>
    <row r="240" spans="1:16" s="1" customFormat="1" ht="12.75" customHeight="1" x14ac:dyDescent="0.25">
      <c r="A240" s="25" t="s">
        <v>35</v>
      </c>
      <c r="B240" s="28" t="s">
        <v>36</v>
      </c>
      <c r="C240" s="333" t="s">
        <v>37</v>
      </c>
      <c r="D240" s="333"/>
      <c r="E240" s="335" t="s">
        <v>38</v>
      </c>
      <c r="F240" s="335"/>
      <c r="G240" s="335" t="s">
        <v>39</v>
      </c>
      <c r="H240" s="335"/>
      <c r="I240" s="42" t="s">
        <v>40</v>
      </c>
      <c r="J240" s="43" t="s">
        <v>41</v>
      </c>
      <c r="K240"/>
      <c r="L240"/>
      <c r="M240"/>
    </row>
    <row r="241" spans="1:16" s="1" customFormat="1" ht="12.75" customHeight="1" x14ac:dyDescent="0.25">
      <c r="A241" s="32"/>
      <c r="B241" s="32"/>
      <c r="C241" s="33" t="s">
        <v>42</v>
      </c>
      <c r="D241" s="33" t="s">
        <v>43</v>
      </c>
      <c r="E241" s="33" t="s">
        <v>44</v>
      </c>
      <c r="F241" s="33" t="s">
        <v>45</v>
      </c>
      <c r="G241" s="33" t="s">
        <v>46</v>
      </c>
      <c r="H241" s="33" t="s">
        <v>47</v>
      </c>
      <c r="I241" s="33"/>
      <c r="J241" s="44"/>
      <c r="K241"/>
      <c r="L241"/>
      <c r="M241"/>
    </row>
    <row r="242" spans="1:16" s="1" customFormat="1" ht="12.75" customHeight="1" x14ac:dyDescent="0.25">
      <c r="A242" s="26" t="s">
        <v>1134</v>
      </c>
      <c r="B242" s="26" t="s">
        <v>723</v>
      </c>
      <c r="C242" s="30" t="s">
        <v>50</v>
      </c>
      <c r="D242" s="35" t="s">
        <v>508</v>
      </c>
      <c r="E242" s="64">
        <v>0.375</v>
      </c>
      <c r="F242" s="116">
        <v>10</v>
      </c>
      <c r="G242" s="35">
        <v>1</v>
      </c>
      <c r="H242" s="40">
        <v>0.5</v>
      </c>
      <c r="I242" s="38" t="s">
        <v>765</v>
      </c>
      <c r="J242" s="34">
        <f>IFERROR(_xlfn.XLOOKUP(I242,Index!$A:$A,Index!$B:$B),"")</f>
        <v>679.5</v>
      </c>
      <c r="K242"/>
      <c r="L242"/>
      <c r="M242"/>
    </row>
    <row r="243" spans="1:16" s="1" customFormat="1" ht="12.75" customHeight="1" x14ac:dyDescent="0.25">
      <c r="A243" s="26"/>
      <c r="B243" s="26"/>
      <c r="C243" s="30"/>
      <c r="D243" s="35" t="s">
        <v>508</v>
      </c>
      <c r="E243" s="64">
        <v>0.5</v>
      </c>
      <c r="F243" s="116">
        <v>15</v>
      </c>
      <c r="G243" s="35">
        <v>2</v>
      </c>
      <c r="H243" s="40">
        <v>0.9</v>
      </c>
      <c r="I243" s="38" t="s">
        <v>1135</v>
      </c>
      <c r="J243" s="34">
        <f>IFERROR(_xlfn.XLOOKUP(I243,Index!$A:$A,Index!$B:$B),"")</f>
        <v>825</v>
      </c>
      <c r="K243"/>
      <c r="L243"/>
      <c r="M243"/>
    </row>
    <row r="244" spans="1:16" s="1" customFormat="1" ht="12.75" customHeight="1" x14ac:dyDescent="0.25">
      <c r="A244" s="26"/>
      <c r="B244" s="26"/>
      <c r="C244" s="30"/>
      <c r="D244" s="35" t="s">
        <v>508</v>
      </c>
      <c r="E244" s="64">
        <v>0.75</v>
      </c>
      <c r="F244" s="116">
        <v>20</v>
      </c>
      <c r="G244" s="35">
        <v>4</v>
      </c>
      <c r="H244" s="40">
        <v>1.8</v>
      </c>
      <c r="I244" s="38" t="s">
        <v>1136</v>
      </c>
      <c r="J244" s="34">
        <f>IFERROR(_xlfn.XLOOKUP(I244,Index!$A:$A,Index!$B:$B),"")</f>
        <v>936</v>
      </c>
      <c r="K244"/>
      <c r="L244"/>
      <c r="M244"/>
    </row>
    <row r="245" spans="1:16" s="1" customFormat="1" ht="12.75" customHeight="1" x14ac:dyDescent="0.25">
      <c r="A245" s="26"/>
      <c r="B245" s="26"/>
      <c r="C245" s="30"/>
      <c r="D245" s="35" t="s">
        <v>508</v>
      </c>
      <c r="E245" s="64">
        <v>1</v>
      </c>
      <c r="F245" s="116">
        <v>25</v>
      </c>
      <c r="G245" s="35">
        <v>6</v>
      </c>
      <c r="H245" s="40">
        <v>2.7</v>
      </c>
      <c r="I245" s="38" t="s">
        <v>1137</v>
      </c>
      <c r="J245" s="34">
        <f>IFERROR(_xlfn.XLOOKUP(I245,Index!$A:$A,Index!$B:$B),"")</f>
        <v>1191</v>
      </c>
      <c r="K245"/>
      <c r="L245"/>
      <c r="M245"/>
    </row>
    <row r="246" spans="1:16" s="1" customFormat="1" ht="12.75" customHeight="1" x14ac:dyDescent="0.25">
      <c r="A246" s="26"/>
      <c r="B246" s="26"/>
      <c r="C246" s="30"/>
      <c r="D246" s="35" t="s">
        <v>508</v>
      </c>
      <c r="E246" s="64">
        <v>1.25</v>
      </c>
      <c r="F246" s="116">
        <v>32</v>
      </c>
      <c r="G246" s="35">
        <v>8</v>
      </c>
      <c r="H246" s="40">
        <v>3.6</v>
      </c>
      <c r="I246" s="38" t="s">
        <v>1138</v>
      </c>
      <c r="J246" s="34">
        <f>IFERROR(_xlfn.XLOOKUP(I246,Index!$A:$A,Index!$B:$B),"")</f>
        <v>1445</v>
      </c>
      <c r="K246"/>
      <c r="L246"/>
      <c r="M246"/>
    </row>
    <row r="247" spans="1:16" s="1" customFormat="1" ht="12.75" customHeight="1" x14ac:dyDescent="0.25">
      <c r="A247" s="26"/>
      <c r="B247" s="26"/>
      <c r="C247" s="30"/>
      <c r="D247" s="35" t="s">
        <v>508</v>
      </c>
      <c r="E247" s="64">
        <v>1.5</v>
      </c>
      <c r="F247" s="116">
        <v>40</v>
      </c>
      <c r="G247" s="35">
        <v>10</v>
      </c>
      <c r="H247" s="40">
        <v>4.5</v>
      </c>
      <c r="I247" s="38" t="s">
        <v>1139</v>
      </c>
      <c r="J247" s="34">
        <f>IFERROR(_xlfn.XLOOKUP(I247,Index!$A:$A,Index!$B:$B),"")</f>
        <v>1988</v>
      </c>
      <c r="K247"/>
      <c r="L247"/>
      <c r="M247"/>
    </row>
    <row r="248" spans="1:16" s="1" customFormat="1" ht="12.75" customHeight="1" x14ac:dyDescent="0.25">
      <c r="A248" s="27"/>
      <c r="B248" s="27"/>
      <c r="C248" s="31"/>
      <c r="D248" s="85" t="s">
        <v>508</v>
      </c>
      <c r="E248" s="64">
        <v>2</v>
      </c>
      <c r="F248" s="116">
        <v>50</v>
      </c>
      <c r="G248" s="35">
        <v>14</v>
      </c>
      <c r="H248" s="40">
        <v>6.4</v>
      </c>
      <c r="I248" s="38" t="s">
        <v>1140</v>
      </c>
      <c r="J248" s="34">
        <f>IFERROR(_xlfn.XLOOKUP(I248,Index!$A:$A,Index!$B:$B),"")</f>
        <v>2718</v>
      </c>
      <c r="K248"/>
      <c r="L248"/>
      <c r="M248"/>
    </row>
    <row r="249" spans="1:16" s="1" customFormat="1" ht="12.75" customHeight="1" x14ac:dyDescent="0.25">
      <c r="A249" s="12"/>
      <c r="B249" s="12"/>
      <c r="C249" s="4"/>
      <c r="D249" s="4"/>
      <c r="E249" s="5"/>
      <c r="F249" s="113"/>
      <c r="G249" s="4"/>
      <c r="H249" s="19"/>
      <c r="I249" s="19"/>
      <c r="J249" s="20"/>
      <c r="K249"/>
      <c r="L249"/>
      <c r="M249"/>
    </row>
    <row r="250" spans="1:16" s="1" customFormat="1" ht="15.75" x14ac:dyDescent="0.25">
      <c r="A250" s="62" t="s">
        <v>5811</v>
      </c>
      <c r="B250" s="62" t="s">
        <v>650</v>
      </c>
      <c r="C250" s="14"/>
      <c r="D250" s="3"/>
      <c r="E250" s="8"/>
      <c r="F250" s="9"/>
      <c r="G250" s="10"/>
      <c r="H250" s="19"/>
      <c r="I250" s="19"/>
      <c r="J250" s="20"/>
      <c r="K250"/>
      <c r="L250"/>
      <c r="M250"/>
      <c r="N250"/>
      <c r="O250"/>
      <c r="P250"/>
    </row>
    <row r="251" spans="1:16" s="1" customFormat="1" ht="15.75" x14ac:dyDescent="0.25">
      <c r="A251" s="48" t="s">
        <v>1123</v>
      </c>
      <c r="B251" s="11"/>
      <c r="C251" s="4"/>
      <c r="D251" s="4"/>
      <c r="E251" s="5"/>
      <c r="F251" s="9"/>
      <c r="G251" s="4"/>
      <c r="H251" s="19"/>
      <c r="I251" s="19"/>
      <c r="J251" s="20"/>
      <c r="K251"/>
      <c r="L251"/>
      <c r="M251"/>
      <c r="N251"/>
      <c r="O251"/>
      <c r="P251"/>
    </row>
    <row r="252" spans="1:16" s="1" customFormat="1" ht="12.75" customHeight="1" x14ac:dyDescent="0.25">
      <c r="A252" s="25" t="s">
        <v>35</v>
      </c>
      <c r="B252" s="28" t="s">
        <v>36</v>
      </c>
      <c r="C252" s="333" t="s">
        <v>37</v>
      </c>
      <c r="D252" s="334"/>
      <c r="E252" s="335" t="s">
        <v>38</v>
      </c>
      <c r="F252" s="336"/>
      <c r="G252" s="335" t="s">
        <v>39</v>
      </c>
      <c r="H252" s="336"/>
      <c r="I252" s="42" t="s">
        <v>40</v>
      </c>
      <c r="J252" s="43" t="s">
        <v>41</v>
      </c>
      <c r="K252"/>
      <c r="L252"/>
      <c r="M252"/>
      <c r="N252"/>
      <c r="O252"/>
      <c r="P252"/>
    </row>
    <row r="253" spans="1:16" s="1" customFormat="1" ht="12.75" customHeight="1" x14ac:dyDescent="0.25">
      <c r="A253" s="32"/>
      <c r="B253" s="32"/>
      <c r="C253" s="33" t="s">
        <v>42</v>
      </c>
      <c r="D253" s="33" t="s">
        <v>43</v>
      </c>
      <c r="E253" s="33" t="s">
        <v>44</v>
      </c>
      <c r="F253" s="33" t="s">
        <v>45</v>
      </c>
      <c r="G253" s="33" t="s">
        <v>46</v>
      </c>
      <c r="H253" s="33" t="s">
        <v>47</v>
      </c>
      <c r="I253" s="33"/>
      <c r="J253" s="44"/>
      <c r="K253"/>
      <c r="L253"/>
      <c r="M253"/>
      <c r="N253"/>
      <c r="O253"/>
      <c r="P253"/>
    </row>
    <row r="254" spans="1:16" s="1" customFormat="1" ht="12.75" customHeight="1" x14ac:dyDescent="0.25">
      <c r="A254" s="26" t="s">
        <v>5812</v>
      </c>
      <c r="B254" s="26" t="s">
        <v>723</v>
      </c>
      <c r="C254" s="30" t="s">
        <v>50</v>
      </c>
      <c r="D254" s="35" t="s">
        <v>508</v>
      </c>
      <c r="E254" s="64">
        <v>0.5</v>
      </c>
      <c r="F254" s="45">
        <v>15</v>
      </c>
      <c r="G254" s="35">
        <v>3</v>
      </c>
      <c r="H254" s="40">
        <v>1.4</v>
      </c>
      <c r="I254" s="38" t="s">
        <v>5813</v>
      </c>
      <c r="J254" s="34">
        <f>IFERROR(_xlfn.XLOOKUP(I254,Index!$A:$A,Index!$B:$B),"")</f>
        <v>1466</v>
      </c>
      <c r="K254"/>
      <c r="L254"/>
      <c r="M254"/>
      <c r="N254"/>
      <c r="O254"/>
      <c r="P254"/>
    </row>
    <row r="255" spans="1:16" s="1" customFormat="1" x14ac:dyDescent="0.25">
      <c r="A255" s="26"/>
      <c r="B255" s="26"/>
      <c r="C255" s="30"/>
      <c r="D255" s="35" t="s">
        <v>508</v>
      </c>
      <c r="E255" s="64">
        <v>0.75</v>
      </c>
      <c r="F255" s="45">
        <v>20</v>
      </c>
      <c r="G255" s="35">
        <v>4</v>
      </c>
      <c r="H255" s="40">
        <v>1.8</v>
      </c>
      <c r="I255" s="38" t="s">
        <v>5814</v>
      </c>
      <c r="J255" s="34">
        <f>IFERROR(_xlfn.XLOOKUP(I255,Index!$A:$A,Index!$B:$B),"")</f>
        <v>1612</v>
      </c>
      <c r="K255"/>
      <c r="L255"/>
      <c r="M255"/>
      <c r="N255"/>
      <c r="O255"/>
      <c r="P255"/>
    </row>
    <row r="256" spans="1:16" s="1" customFormat="1" x14ac:dyDescent="0.25">
      <c r="A256" s="26"/>
      <c r="B256" s="26"/>
      <c r="C256" s="30"/>
      <c r="D256" s="35" t="s">
        <v>508</v>
      </c>
      <c r="E256" s="64">
        <v>1</v>
      </c>
      <c r="F256" s="45">
        <v>25</v>
      </c>
      <c r="G256" s="35">
        <v>7</v>
      </c>
      <c r="H256" s="40">
        <v>3.2</v>
      </c>
      <c r="I256" s="38" t="s">
        <v>5815</v>
      </c>
      <c r="J256" s="34">
        <f>IFERROR(_xlfn.XLOOKUP(I256,Index!$A:$A,Index!$B:$B),"")</f>
        <v>1830</v>
      </c>
      <c r="K256"/>
      <c r="L256"/>
      <c r="M256"/>
      <c r="N256"/>
      <c r="O256"/>
      <c r="P256"/>
    </row>
    <row r="257" spans="1:17" s="1" customFormat="1" ht="12.75" customHeight="1" x14ac:dyDescent="0.25">
      <c r="A257" s="26"/>
      <c r="B257" s="26"/>
      <c r="C257" s="30"/>
      <c r="D257" s="35" t="s">
        <v>508</v>
      </c>
      <c r="E257" s="64">
        <v>1.25</v>
      </c>
      <c r="F257" s="45">
        <v>32</v>
      </c>
      <c r="G257" s="35">
        <v>10</v>
      </c>
      <c r="H257" s="40">
        <v>4.5</v>
      </c>
      <c r="I257" s="38" t="s">
        <v>5820</v>
      </c>
      <c r="J257" s="34">
        <f>IFERROR(_xlfn.XLOOKUP(I257,Index!$A:$A,Index!$B:$B),"")</f>
        <v>3018</v>
      </c>
      <c r="K257"/>
      <c r="L257"/>
      <c r="M257"/>
      <c r="N257"/>
      <c r="O257"/>
      <c r="P257"/>
    </row>
    <row r="258" spans="1:17" s="1" customFormat="1" ht="12.75" customHeight="1" x14ac:dyDescent="0.25">
      <c r="A258" s="26"/>
      <c r="B258" s="26"/>
      <c r="C258" s="30"/>
      <c r="D258" s="35" t="s">
        <v>508</v>
      </c>
      <c r="E258" s="64">
        <v>1.5</v>
      </c>
      <c r="F258" s="45">
        <v>40</v>
      </c>
      <c r="G258" s="35">
        <v>16</v>
      </c>
      <c r="H258" s="40">
        <v>7.3</v>
      </c>
      <c r="I258" s="38" t="s">
        <v>5816</v>
      </c>
      <c r="J258" s="34">
        <f>IFERROR(_xlfn.XLOOKUP(I258,Index!$A:$A,Index!$B:$B),"")</f>
        <v>3517</v>
      </c>
      <c r="K258"/>
      <c r="L258"/>
      <c r="M258"/>
      <c r="N258"/>
      <c r="O258"/>
      <c r="P258"/>
    </row>
    <row r="259" spans="1:17" s="1" customFormat="1" ht="12.75" customHeight="1" x14ac:dyDescent="0.25">
      <c r="A259" s="26"/>
      <c r="B259" s="26"/>
      <c r="C259" s="30"/>
      <c r="D259" s="35" t="s">
        <v>508</v>
      </c>
      <c r="E259" s="64">
        <v>2</v>
      </c>
      <c r="F259" s="45">
        <v>50</v>
      </c>
      <c r="G259" s="35">
        <v>22</v>
      </c>
      <c r="H259" s="40">
        <v>10</v>
      </c>
      <c r="I259" s="38" t="s">
        <v>5817</v>
      </c>
      <c r="J259" s="34">
        <f>IFERROR(_xlfn.XLOOKUP(I259,Index!$A:$A,Index!$B:$B),"")</f>
        <v>4659</v>
      </c>
      <c r="K259"/>
      <c r="L259"/>
      <c r="M259"/>
      <c r="N259"/>
      <c r="O259"/>
      <c r="P259"/>
    </row>
    <row r="260" spans="1:17" s="1" customFormat="1" ht="12.75" customHeight="1" x14ac:dyDescent="0.25">
      <c r="A260" s="26"/>
      <c r="B260" s="26"/>
      <c r="C260" s="30"/>
      <c r="D260" s="35" t="s">
        <v>508</v>
      </c>
      <c r="E260" s="64">
        <v>2.5</v>
      </c>
      <c r="F260" s="45">
        <v>65</v>
      </c>
      <c r="G260" s="35">
        <v>42</v>
      </c>
      <c r="H260" s="40">
        <v>19.100000000000001</v>
      </c>
      <c r="I260" s="38" t="s">
        <v>5818</v>
      </c>
      <c r="J260" s="34">
        <f>IFERROR(_xlfn.XLOOKUP(I260,Index!$A:$A,Index!$B:$B),"")</f>
        <v>6758</v>
      </c>
      <c r="K260"/>
      <c r="L260"/>
      <c r="M260"/>
      <c r="N260"/>
      <c r="O260"/>
      <c r="P260"/>
    </row>
    <row r="261" spans="1:17" s="1" customFormat="1" ht="12.75" customHeight="1" x14ac:dyDescent="0.25">
      <c r="A261" s="27"/>
      <c r="B261" s="27"/>
      <c r="C261" s="31"/>
      <c r="D261" s="35" t="s">
        <v>508</v>
      </c>
      <c r="E261" s="64">
        <v>3</v>
      </c>
      <c r="F261" s="45">
        <v>80</v>
      </c>
      <c r="G261" s="35">
        <v>43</v>
      </c>
      <c r="H261" s="40">
        <v>19.5</v>
      </c>
      <c r="I261" s="38" t="s">
        <v>5819</v>
      </c>
      <c r="J261" s="34">
        <f>IFERROR(_xlfn.XLOOKUP(I261,Index!$A:$A,Index!$B:$B),"")</f>
        <v>7304</v>
      </c>
      <c r="K261"/>
      <c r="L261"/>
      <c r="M261"/>
      <c r="N261"/>
      <c r="O261"/>
      <c r="P261"/>
    </row>
    <row r="262" spans="1:17" s="79" customFormat="1" x14ac:dyDescent="0.25">
      <c r="A262" s="12"/>
      <c r="B262" s="12"/>
      <c r="C262" s="4"/>
      <c r="D262" s="4"/>
      <c r="E262" s="5"/>
      <c r="F262" s="113"/>
      <c r="G262" s="4"/>
      <c r="H262" s="19"/>
      <c r="I262" s="19"/>
      <c r="J262" s="20"/>
      <c r="K262"/>
      <c r="L262"/>
      <c r="M262"/>
      <c r="N262" s="1"/>
      <c r="O262" s="1"/>
      <c r="P262" s="1"/>
      <c r="Q262" s="1"/>
    </row>
    <row r="263" spans="1:17" s="264" customFormat="1" ht="15.75" x14ac:dyDescent="0.25">
      <c r="A263" s="217" t="s">
        <v>5821</v>
      </c>
      <c r="B263" s="47"/>
      <c r="C263" s="47"/>
      <c r="D263" s="258"/>
      <c r="E263" s="259"/>
      <c r="F263" s="271"/>
      <c r="G263" s="272"/>
      <c r="H263" s="262"/>
      <c r="I263" s="262"/>
      <c r="J263" s="263"/>
      <c r="K263"/>
      <c r="L263"/>
      <c r="M263"/>
    </row>
    <row r="264" spans="1:17" s="264" customFormat="1" ht="15.75" x14ac:dyDescent="0.25">
      <c r="A264" s="48" t="s">
        <v>102</v>
      </c>
      <c r="B264" s="217"/>
      <c r="C264" s="265"/>
      <c r="D264" s="265"/>
      <c r="E264" s="266"/>
      <c r="F264" s="271"/>
      <c r="G264" s="265"/>
      <c r="H264" s="262"/>
      <c r="I264" s="262"/>
      <c r="J264" s="263"/>
      <c r="K264"/>
      <c r="L264"/>
      <c r="M264"/>
    </row>
    <row r="265" spans="1:17" s="1" customFormat="1" ht="12.75" customHeight="1" x14ac:dyDescent="0.2">
      <c r="A265" s="25" t="s">
        <v>35</v>
      </c>
      <c r="B265" s="28" t="s">
        <v>103</v>
      </c>
      <c r="C265" s="335" t="s">
        <v>38</v>
      </c>
      <c r="D265" s="336"/>
      <c r="E265" s="42" t="s">
        <v>40</v>
      </c>
      <c r="F265" s="43" t="s">
        <v>41</v>
      </c>
    </row>
    <row r="266" spans="1:17" s="1" customFormat="1" ht="12.75" customHeight="1" x14ac:dyDescent="0.2">
      <c r="A266" s="32"/>
      <c r="B266" s="32"/>
      <c r="C266" s="33" t="s">
        <v>44</v>
      </c>
      <c r="D266" s="33" t="s">
        <v>45</v>
      </c>
      <c r="E266" s="33"/>
      <c r="F266" s="44"/>
    </row>
    <row r="267" spans="1:17" s="55" customFormat="1" ht="14.25" x14ac:dyDescent="0.2">
      <c r="A267" s="60" t="s">
        <v>5822</v>
      </c>
      <c r="B267" s="60" t="s">
        <v>104</v>
      </c>
      <c r="C267" s="70">
        <v>0.25</v>
      </c>
      <c r="D267" s="38">
        <v>8</v>
      </c>
      <c r="E267" s="35" t="s">
        <v>772</v>
      </c>
      <c r="F267" s="34">
        <f>IFERROR(_xlfn.XLOOKUP(E267,Index!$A:$A,Index!$B:$B),"")</f>
        <v>17.5</v>
      </c>
      <c r="G267" s="1"/>
      <c r="H267" s="1"/>
      <c r="I267" s="1"/>
      <c r="J267" s="1"/>
      <c r="K267" s="1"/>
      <c r="L267" s="1"/>
      <c r="M267" s="1"/>
    </row>
    <row r="268" spans="1:17" s="55" customFormat="1" ht="14.25" x14ac:dyDescent="0.2">
      <c r="A268" s="26"/>
      <c r="B268" s="26"/>
      <c r="C268" s="64">
        <v>0.375</v>
      </c>
      <c r="D268" s="116">
        <v>10</v>
      </c>
      <c r="E268" s="35" t="s">
        <v>772</v>
      </c>
      <c r="F268" s="34">
        <f>IFERROR(_xlfn.XLOOKUP(E268,Index!$A:$A,Index!$B:$B),"")</f>
        <v>17.5</v>
      </c>
      <c r="G268" s="1"/>
      <c r="H268" s="1"/>
      <c r="I268" s="1"/>
      <c r="J268" s="1"/>
      <c r="K268" s="1"/>
      <c r="L268" s="1"/>
      <c r="M268" s="1"/>
    </row>
    <row r="269" spans="1:17" s="1" customFormat="1" ht="12.75" customHeight="1" x14ac:dyDescent="0.2">
      <c r="A269" s="26"/>
      <c r="B269" s="26"/>
      <c r="C269" s="64">
        <v>0.5</v>
      </c>
      <c r="D269" s="116">
        <v>15</v>
      </c>
      <c r="E269" s="35" t="s">
        <v>772</v>
      </c>
      <c r="F269" s="34">
        <f>IFERROR(_xlfn.XLOOKUP(E269,Index!$A:$A,Index!$B:$B),"")</f>
        <v>17.5</v>
      </c>
    </row>
    <row r="270" spans="1:17" s="1" customFormat="1" ht="12.75" customHeight="1" x14ac:dyDescent="0.2">
      <c r="A270" s="26"/>
      <c r="B270" s="26"/>
      <c r="C270" s="64">
        <v>0.75</v>
      </c>
      <c r="D270" s="116">
        <v>20</v>
      </c>
      <c r="E270" s="35" t="s">
        <v>773</v>
      </c>
      <c r="F270" s="34">
        <f>IFERROR(_xlfn.XLOOKUP(E270,Index!$A:$A,Index!$B:$B),"")</f>
        <v>19.5</v>
      </c>
    </row>
    <row r="271" spans="1:17" s="1" customFormat="1" ht="12.75" customHeight="1" x14ac:dyDescent="0.2">
      <c r="A271" s="26"/>
      <c r="B271" s="26"/>
      <c r="C271" s="64">
        <v>1</v>
      </c>
      <c r="D271" s="116">
        <v>25</v>
      </c>
      <c r="E271" s="35" t="s">
        <v>690</v>
      </c>
      <c r="F271" s="34">
        <f>IFERROR(_xlfn.XLOOKUP(E271,Index!$A:$A,Index!$B:$B),"")</f>
        <v>7</v>
      </c>
    </row>
    <row r="272" spans="1:17" s="1" customFormat="1" ht="12.75" customHeight="1" x14ac:dyDescent="0.2">
      <c r="A272" s="26"/>
      <c r="B272" s="26"/>
      <c r="C272" s="64">
        <v>1.25</v>
      </c>
      <c r="D272" s="116">
        <v>32</v>
      </c>
      <c r="E272" s="35" t="s">
        <v>774</v>
      </c>
      <c r="F272" s="34">
        <f>IFERROR(_xlfn.XLOOKUP(E272,Index!$A:$A,Index!$B:$B),"")</f>
        <v>29.75</v>
      </c>
    </row>
    <row r="273" spans="1:13" s="1" customFormat="1" ht="12.75" customHeight="1" x14ac:dyDescent="0.2">
      <c r="A273" s="26"/>
      <c r="B273" s="26"/>
      <c r="C273" s="64">
        <v>1.5</v>
      </c>
      <c r="D273" s="116">
        <v>40</v>
      </c>
      <c r="E273" s="35" t="s">
        <v>775</v>
      </c>
      <c r="F273" s="34">
        <f>IFERROR(_xlfn.XLOOKUP(E273,Index!$A:$A,Index!$B:$B),"")</f>
        <v>23.5</v>
      </c>
    </row>
    <row r="274" spans="1:13" s="1" customFormat="1" ht="12.75" customHeight="1" x14ac:dyDescent="0.2">
      <c r="A274" s="26"/>
      <c r="B274" s="26"/>
      <c r="C274" s="64">
        <v>2</v>
      </c>
      <c r="D274" s="116">
        <v>50</v>
      </c>
      <c r="E274" s="35" t="s">
        <v>776</v>
      </c>
      <c r="F274" s="34">
        <f>IFERROR(_xlfn.XLOOKUP(E274,Index!$A:$A,Index!$B:$B),"")</f>
        <v>26.75</v>
      </c>
    </row>
    <row r="275" spans="1:13" s="1" customFormat="1" ht="12.75" customHeight="1" x14ac:dyDescent="0.2">
      <c r="A275" s="26"/>
      <c r="B275" s="60" t="s">
        <v>210</v>
      </c>
      <c r="C275" s="70">
        <v>0.25</v>
      </c>
      <c r="D275" s="38">
        <v>8</v>
      </c>
      <c r="E275" s="35" t="s">
        <v>777</v>
      </c>
      <c r="F275" s="34">
        <f>IFERROR(_xlfn.XLOOKUP(E275,Index!$A:$A,Index!$B:$B),"")</f>
        <v>57.5</v>
      </c>
    </row>
    <row r="276" spans="1:13" s="1" customFormat="1" ht="12.75" customHeight="1" x14ac:dyDescent="0.2">
      <c r="A276" s="26"/>
      <c r="B276" s="26"/>
      <c r="C276" s="64">
        <v>0.375</v>
      </c>
      <c r="D276" s="116">
        <v>10</v>
      </c>
      <c r="E276" s="35" t="s">
        <v>777</v>
      </c>
      <c r="F276" s="34">
        <f>IFERROR(_xlfn.XLOOKUP(E276,Index!$A:$A,Index!$B:$B),"")</f>
        <v>57.5</v>
      </c>
    </row>
    <row r="277" spans="1:13" s="1" customFormat="1" ht="12" x14ac:dyDescent="0.2">
      <c r="A277" s="26"/>
      <c r="B277" s="26"/>
      <c r="C277" s="64">
        <v>0.5</v>
      </c>
      <c r="D277" s="116">
        <v>15</v>
      </c>
      <c r="E277" s="35" t="s">
        <v>778</v>
      </c>
      <c r="F277" s="34">
        <f>IFERROR(_xlfn.XLOOKUP(E277,Index!$A:$A,Index!$B:$B),"")</f>
        <v>63.5</v>
      </c>
    </row>
    <row r="278" spans="1:13" s="1" customFormat="1" ht="12.75" customHeight="1" x14ac:dyDescent="0.2">
      <c r="A278" s="26"/>
      <c r="B278" s="26"/>
      <c r="C278" s="64">
        <v>0.75</v>
      </c>
      <c r="D278" s="116">
        <v>20</v>
      </c>
      <c r="E278" s="35" t="s">
        <v>779</v>
      </c>
      <c r="F278" s="34">
        <f>IFERROR(_xlfn.XLOOKUP(E278,Index!$A:$A,Index!$B:$B),"")</f>
        <v>80.5</v>
      </c>
    </row>
    <row r="279" spans="1:13" s="1" customFormat="1" ht="12.75" customHeight="1" x14ac:dyDescent="0.2">
      <c r="A279" s="26"/>
      <c r="B279" s="26"/>
      <c r="C279" s="64">
        <v>1</v>
      </c>
      <c r="D279" s="116">
        <v>25</v>
      </c>
      <c r="E279" s="35" t="s">
        <v>780</v>
      </c>
      <c r="F279" s="34">
        <f>IFERROR(_xlfn.XLOOKUP(E279,Index!$A:$A,Index!$B:$B),"")</f>
        <v>80.5</v>
      </c>
    </row>
    <row r="280" spans="1:13" s="1" customFormat="1" ht="12.75" customHeight="1" x14ac:dyDescent="0.2">
      <c r="A280" s="26"/>
      <c r="B280" s="26"/>
      <c r="C280" s="64">
        <v>1.25</v>
      </c>
      <c r="D280" s="116">
        <v>32</v>
      </c>
      <c r="E280" s="35" t="s">
        <v>781</v>
      </c>
      <c r="F280" s="34">
        <f>IFERROR(_xlfn.XLOOKUP(E280,Index!$A:$A,Index!$B:$B),"")</f>
        <v>80.5</v>
      </c>
    </row>
    <row r="281" spans="1:13" s="55" customFormat="1" ht="14.25" x14ac:dyDescent="0.2">
      <c r="A281" s="26"/>
      <c r="B281" s="26"/>
      <c r="C281" s="64">
        <v>1.5</v>
      </c>
      <c r="D281" s="116">
        <v>40</v>
      </c>
      <c r="E281" s="35" t="s">
        <v>782</v>
      </c>
      <c r="F281" s="34">
        <f>IFERROR(_xlfn.XLOOKUP(E281,Index!$A:$A,Index!$B:$B),"")</f>
        <v>88.5</v>
      </c>
      <c r="G281" s="1"/>
      <c r="H281" s="1"/>
      <c r="I281" s="1"/>
      <c r="J281" s="1"/>
      <c r="K281" s="1"/>
      <c r="L281" s="1"/>
      <c r="M281" s="1"/>
    </row>
    <row r="282" spans="1:13" s="55" customFormat="1" ht="14.25" x14ac:dyDescent="0.2">
      <c r="A282" s="26"/>
      <c r="B282" s="26"/>
      <c r="C282" s="64">
        <v>2</v>
      </c>
      <c r="D282" s="116">
        <v>50</v>
      </c>
      <c r="E282" s="35" t="s">
        <v>783</v>
      </c>
      <c r="F282" s="34">
        <f>IFERROR(_xlfn.XLOOKUP(E282,Index!$A:$A,Index!$B:$B),"")</f>
        <v>88.5</v>
      </c>
      <c r="G282" s="1"/>
      <c r="H282" s="1"/>
      <c r="I282" s="1"/>
      <c r="J282" s="1"/>
      <c r="K282" s="1"/>
      <c r="L282" s="1"/>
      <c r="M282" s="1"/>
    </row>
    <row r="283" spans="1:13" s="1" customFormat="1" ht="12.75" customHeight="1" x14ac:dyDescent="0.2">
      <c r="A283" s="26"/>
      <c r="B283" s="60" t="s">
        <v>122</v>
      </c>
      <c r="C283" s="70">
        <v>0.25</v>
      </c>
      <c r="D283" s="38">
        <v>8</v>
      </c>
      <c r="E283" s="35" t="s">
        <v>784</v>
      </c>
      <c r="F283" s="34">
        <f>IFERROR(_xlfn.XLOOKUP(E283,Index!$A:$A,Index!$B:$B),"")</f>
        <v>57.5</v>
      </c>
    </row>
    <row r="284" spans="1:13" s="1" customFormat="1" ht="12.75" customHeight="1" x14ac:dyDescent="0.2">
      <c r="A284" s="26"/>
      <c r="B284" s="26"/>
      <c r="C284" s="64">
        <v>0.375</v>
      </c>
      <c r="D284" s="116">
        <v>10</v>
      </c>
      <c r="E284" s="38" t="s">
        <v>5542</v>
      </c>
      <c r="F284" s="250">
        <f>$F$276</f>
        <v>57.5</v>
      </c>
    </row>
    <row r="285" spans="1:13" s="1" customFormat="1" ht="12.75" customHeight="1" x14ac:dyDescent="0.2">
      <c r="A285" s="26"/>
      <c r="B285" s="26"/>
      <c r="C285" s="64">
        <v>0.5</v>
      </c>
      <c r="D285" s="116">
        <v>15</v>
      </c>
      <c r="E285" s="35" t="s">
        <v>785</v>
      </c>
      <c r="F285" s="34">
        <f>IFERROR(_xlfn.XLOOKUP(E285,Index!$A:$A,Index!$B:$B),"")</f>
        <v>63.5</v>
      </c>
    </row>
    <row r="286" spans="1:13" s="1" customFormat="1" ht="12.75" customHeight="1" x14ac:dyDescent="0.2">
      <c r="A286" s="26"/>
      <c r="B286" s="26"/>
      <c r="C286" s="64">
        <v>0.75</v>
      </c>
      <c r="D286" s="116">
        <v>20</v>
      </c>
      <c r="E286" s="35" t="s">
        <v>786</v>
      </c>
      <c r="F286" s="34">
        <f>IFERROR(_xlfn.XLOOKUP(E286,Index!$A:$A,Index!$B:$B),"")</f>
        <v>80.5</v>
      </c>
    </row>
    <row r="287" spans="1:13" s="1" customFormat="1" ht="12.75" customHeight="1" x14ac:dyDescent="0.2">
      <c r="A287" s="26"/>
      <c r="B287" s="26"/>
      <c r="C287" s="64">
        <v>1</v>
      </c>
      <c r="D287" s="116">
        <v>25</v>
      </c>
      <c r="E287" s="35" t="s">
        <v>787</v>
      </c>
      <c r="F287" s="34">
        <f>IFERROR(_xlfn.XLOOKUP(E287,Index!$A:$A,Index!$B:$B),"")</f>
        <v>80.5</v>
      </c>
    </row>
    <row r="288" spans="1:13" s="1" customFormat="1" ht="12.75" customHeight="1" x14ac:dyDescent="0.2">
      <c r="A288" s="26"/>
      <c r="B288" s="26"/>
      <c r="C288" s="64">
        <v>1.25</v>
      </c>
      <c r="D288" s="116">
        <v>32</v>
      </c>
      <c r="E288" s="35" t="s">
        <v>788</v>
      </c>
      <c r="F288" s="34">
        <f>IFERROR(_xlfn.XLOOKUP(E288,Index!$A:$A,Index!$B:$B),"")</f>
        <v>80.5</v>
      </c>
    </row>
    <row r="289" spans="1:6" s="1" customFormat="1" ht="12.75" customHeight="1" x14ac:dyDescent="0.2">
      <c r="A289" s="26"/>
      <c r="B289" s="26"/>
      <c r="C289" s="64">
        <v>1.5</v>
      </c>
      <c r="D289" s="116">
        <v>40</v>
      </c>
      <c r="E289" s="35" t="s">
        <v>789</v>
      </c>
      <c r="F289" s="34">
        <f>IFERROR(_xlfn.XLOOKUP(E289,Index!$A:$A,Index!$B:$B),"")</f>
        <v>88.5</v>
      </c>
    </row>
    <row r="290" spans="1:6" s="1" customFormat="1" ht="12.75" customHeight="1" x14ac:dyDescent="0.2">
      <c r="A290" s="26"/>
      <c r="B290" s="26"/>
      <c r="C290" s="64">
        <v>2</v>
      </c>
      <c r="D290" s="116">
        <v>50</v>
      </c>
      <c r="E290" s="35" t="s">
        <v>790</v>
      </c>
      <c r="F290" s="34">
        <f>IFERROR(_xlfn.XLOOKUP(E290,Index!$A:$A,Index!$B:$B),"")</f>
        <v>88.5</v>
      </c>
    </row>
    <row r="291" spans="1:6" s="1" customFormat="1" ht="12.75" customHeight="1" x14ac:dyDescent="0.2">
      <c r="A291" s="26"/>
      <c r="B291" s="60" t="s">
        <v>134</v>
      </c>
      <c r="C291" s="70">
        <v>0.25</v>
      </c>
      <c r="D291" s="38">
        <v>8</v>
      </c>
      <c r="E291" s="38" t="s">
        <v>5542</v>
      </c>
      <c r="F291" s="250">
        <f t="shared" ref="F291:F292" si="0">F275</f>
        <v>57.5</v>
      </c>
    </row>
    <row r="292" spans="1:6" s="1" customFormat="1" ht="12.75" customHeight="1" x14ac:dyDescent="0.2">
      <c r="A292" s="26"/>
      <c r="B292" s="26"/>
      <c r="C292" s="64">
        <v>0.375</v>
      </c>
      <c r="D292" s="116">
        <v>10</v>
      </c>
      <c r="E292" s="38" t="s">
        <v>5542</v>
      </c>
      <c r="F292" s="250">
        <f t="shared" si="0"/>
        <v>57.5</v>
      </c>
    </row>
    <row r="293" spans="1:6" s="1" customFormat="1" ht="12.75" customHeight="1" x14ac:dyDescent="0.2">
      <c r="A293" s="26"/>
      <c r="B293" s="26"/>
      <c r="C293" s="64">
        <v>0.5</v>
      </c>
      <c r="D293" s="116">
        <v>15</v>
      </c>
      <c r="E293" s="35" t="s">
        <v>791</v>
      </c>
      <c r="F293" s="34">
        <f>IFERROR(_xlfn.XLOOKUP(E293,Index!$A:$A,Index!$B:$B),"")</f>
        <v>63.5</v>
      </c>
    </row>
    <row r="294" spans="1:6" s="1" customFormat="1" ht="12.75" customHeight="1" x14ac:dyDescent="0.2">
      <c r="A294" s="26"/>
      <c r="B294" s="26"/>
      <c r="C294" s="64">
        <v>0.75</v>
      </c>
      <c r="D294" s="116">
        <v>20</v>
      </c>
      <c r="E294" s="35" t="s">
        <v>792</v>
      </c>
      <c r="F294" s="34">
        <f>IFERROR(_xlfn.XLOOKUP(E294,Index!$A:$A,Index!$B:$B),"")</f>
        <v>80.5</v>
      </c>
    </row>
    <row r="295" spans="1:6" s="1" customFormat="1" ht="12.75" customHeight="1" x14ac:dyDescent="0.2">
      <c r="A295" s="26"/>
      <c r="B295" s="26"/>
      <c r="C295" s="64">
        <v>1</v>
      </c>
      <c r="D295" s="116">
        <v>25</v>
      </c>
      <c r="E295" s="35" t="s">
        <v>793</v>
      </c>
      <c r="F295" s="34">
        <f>IFERROR(_xlfn.XLOOKUP(E295,Index!$A:$A,Index!$B:$B),"")</f>
        <v>80.5</v>
      </c>
    </row>
    <row r="296" spans="1:6" s="1" customFormat="1" ht="12.75" customHeight="1" x14ac:dyDescent="0.2">
      <c r="A296" s="26"/>
      <c r="B296" s="26"/>
      <c r="C296" s="64">
        <v>1.25</v>
      </c>
      <c r="D296" s="116">
        <v>32</v>
      </c>
      <c r="E296" s="38" t="s">
        <v>5542</v>
      </c>
      <c r="F296" s="250">
        <f>$F$288</f>
        <v>80.5</v>
      </c>
    </row>
    <row r="297" spans="1:6" s="1" customFormat="1" ht="12.75" customHeight="1" x14ac:dyDescent="0.2">
      <c r="A297" s="26"/>
      <c r="B297" s="26"/>
      <c r="C297" s="64">
        <v>1.5</v>
      </c>
      <c r="D297" s="116">
        <v>40</v>
      </c>
      <c r="E297" s="35" t="s">
        <v>794</v>
      </c>
      <c r="F297" s="34">
        <f>IFERROR(_xlfn.XLOOKUP(E297,Index!$A:$A,Index!$B:$B),"")</f>
        <v>88.5</v>
      </c>
    </row>
    <row r="298" spans="1:6" s="1" customFormat="1" ht="12.75" customHeight="1" x14ac:dyDescent="0.2">
      <c r="A298" s="26"/>
      <c r="B298" s="26"/>
      <c r="C298" s="64">
        <v>2</v>
      </c>
      <c r="D298" s="116">
        <v>50</v>
      </c>
      <c r="E298" s="35" t="s">
        <v>795</v>
      </c>
      <c r="F298" s="34">
        <f>IFERROR(_xlfn.XLOOKUP(E298,Index!$A:$A,Index!$B:$B),"")</f>
        <v>88.5</v>
      </c>
    </row>
    <row r="299" spans="1:6" s="1" customFormat="1" ht="12.75" customHeight="1" x14ac:dyDescent="0.2">
      <c r="A299" s="26"/>
      <c r="B299" s="60" t="s">
        <v>145</v>
      </c>
      <c r="C299" s="70">
        <v>0.25</v>
      </c>
      <c r="D299" s="38">
        <v>8</v>
      </c>
      <c r="E299" s="35" t="s">
        <v>796</v>
      </c>
      <c r="F299" s="34">
        <f>IFERROR(_xlfn.XLOOKUP(E299,Index!$A:$A,Index!$B:$B),"")</f>
        <v>57.5</v>
      </c>
    </row>
    <row r="300" spans="1:6" s="1" customFormat="1" ht="12.75" customHeight="1" x14ac:dyDescent="0.2">
      <c r="A300" s="26"/>
      <c r="B300" s="26"/>
      <c r="C300" s="64">
        <v>0.375</v>
      </c>
      <c r="D300" s="116">
        <v>10</v>
      </c>
      <c r="E300" s="35" t="s">
        <v>797</v>
      </c>
      <c r="F300" s="34">
        <f>IFERROR(_xlfn.XLOOKUP(E300,Index!$A:$A,Index!$B:$B),"")</f>
        <v>57.5</v>
      </c>
    </row>
    <row r="301" spans="1:6" s="1" customFormat="1" ht="12.75" customHeight="1" x14ac:dyDescent="0.2">
      <c r="A301" s="26"/>
      <c r="B301" s="26"/>
      <c r="C301" s="64">
        <v>0.5</v>
      </c>
      <c r="D301" s="116">
        <v>15</v>
      </c>
      <c r="E301" s="35" t="s">
        <v>798</v>
      </c>
      <c r="F301" s="34">
        <f>IFERROR(_xlfn.XLOOKUP(E301,Index!$A:$A,Index!$B:$B),"")</f>
        <v>63.5</v>
      </c>
    </row>
    <row r="302" spans="1:6" s="1" customFormat="1" ht="12.75" customHeight="1" x14ac:dyDescent="0.2">
      <c r="A302" s="26"/>
      <c r="B302" s="26"/>
      <c r="C302" s="64">
        <v>0.75</v>
      </c>
      <c r="D302" s="116">
        <v>20</v>
      </c>
      <c r="E302" s="35" t="s">
        <v>2851</v>
      </c>
      <c r="F302" s="34">
        <f>IFERROR(_xlfn.XLOOKUP(E302,Index!$A:$A,Index!$B:$B),"")</f>
        <v>80.5</v>
      </c>
    </row>
    <row r="303" spans="1:6" s="1" customFormat="1" ht="12.75" customHeight="1" x14ac:dyDescent="0.2">
      <c r="A303" s="26"/>
      <c r="B303" s="26"/>
      <c r="C303" s="64">
        <v>1</v>
      </c>
      <c r="D303" s="116">
        <v>25</v>
      </c>
      <c r="E303" s="35" t="s">
        <v>804</v>
      </c>
      <c r="F303" s="34">
        <f>IFERROR(_xlfn.XLOOKUP(E303,Index!$A:$A,Index!$B:$B),"")</f>
        <v>80.5</v>
      </c>
    </row>
    <row r="304" spans="1:6" s="1" customFormat="1" ht="12.75" customHeight="1" x14ac:dyDescent="0.2">
      <c r="A304" s="26"/>
      <c r="B304" s="26"/>
      <c r="C304" s="64">
        <v>1.25</v>
      </c>
      <c r="D304" s="116">
        <v>32</v>
      </c>
      <c r="E304" s="35" t="s">
        <v>2850</v>
      </c>
      <c r="F304" s="34">
        <f>IFERROR(_xlfn.XLOOKUP(E304,Index!$A:$A,Index!$B:$B),"")</f>
        <v>80.5</v>
      </c>
    </row>
    <row r="305" spans="1:6" s="1" customFormat="1" ht="12.75" customHeight="1" x14ac:dyDescent="0.2">
      <c r="A305" s="26"/>
      <c r="B305" s="26"/>
      <c r="C305" s="64">
        <v>1.5</v>
      </c>
      <c r="D305" s="116">
        <v>40</v>
      </c>
      <c r="E305" s="35" t="s">
        <v>799</v>
      </c>
      <c r="F305" s="34">
        <f>IFERROR(_xlfn.XLOOKUP(E305,Index!$A:$A,Index!$B:$B),"")</f>
        <v>88.5</v>
      </c>
    </row>
    <row r="306" spans="1:6" s="1" customFormat="1" ht="12.75" customHeight="1" x14ac:dyDescent="0.2">
      <c r="A306" s="26"/>
      <c r="B306" s="26"/>
      <c r="C306" s="64">
        <v>2</v>
      </c>
      <c r="D306" s="116">
        <v>50</v>
      </c>
      <c r="E306" s="35" t="s">
        <v>800</v>
      </c>
      <c r="F306" s="34">
        <f>IFERROR(_xlfn.XLOOKUP(E306,Index!$A:$A,Index!$B:$B),"")</f>
        <v>88.5</v>
      </c>
    </row>
    <row r="307" spans="1:6" s="1" customFormat="1" ht="12.75" customHeight="1" x14ac:dyDescent="0.2">
      <c r="A307" s="26"/>
      <c r="B307" s="60" t="s">
        <v>155</v>
      </c>
      <c r="C307" s="70">
        <v>0.25</v>
      </c>
      <c r="D307" s="38">
        <v>8</v>
      </c>
      <c r="E307" s="35" t="s">
        <v>801</v>
      </c>
      <c r="F307" s="34">
        <f>IFERROR(_xlfn.XLOOKUP(E307,Index!$A:$A,Index!$B:$B),"")</f>
        <v>57.5</v>
      </c>
    </row>
    <row r="308" spans="1:6" s="1" customFormat="1" ht="12.75" customHeight="1" x14ac:dyDescent="0.2">
      <c r="A308" s="26"/>
      <c r="B308" s="26"/>
      <c r="C308" s="64">
        <v>0.375</v>
      </c>
      <c r="D308" s="116">
        <v>10</v>
      </c>
      <c r="E308" s="35" t="s">
        <v>801</v>
      </c>
      <c r="F308" s="34">
        <f>IFERROR(_xlfn.XLOOKUP(E308,Index!$A:$A,Index!$B:$B),"")</f>
        <v>57.5</v>
      </c>
    </row>
    <row r="309" spans="1:6" s="1" customFormat="1" ht="12.75" customHeight="1" x14ac:dyDescent="0.2">
      <c r="A309" s="26"/>
      <c r="B309" s="26"/>
      <c r="C309" s="64">
        <v>0.5</v>
      </c>
      <c r="D309" s="116">
        <v>15</v>
      </c>
      <c r="E309" s="35" t="s">
        <v>802</v>
      </c>
      <c r="F309" s="34">
        <f>IFERROR(_xlfn.XLOOKUP(E309,Index!$A:$A,Index!$B:$B),"")</f>
        <v>63.5</v>
      </c>
    </row>
    <row r="310" spans="1:6" s="1" customFormat="1" ht="12.75" customHeight="1" x14ac:dyDescent="0.2">
      <c r="A310" s="26"/>
      <c r="B310" s="26"/>
      <c r="C310" s="64">
        <v>0.75</v>
      </c>
      <c r="D310" s="116">
        <v>20</v>
      </c>
      <c r="E310" s="35" t="s">
        <v>803</v>
      </c>
      <c r="F310" s="34">
        <f>IFERROR(_xlfn.XLOOKUP(E310,Index!$A:$A,Index!$B:$B),"")</f>
        <v>80.5</v>
      </c>
    </row>
    <row r="311" spans="1:6" s="1" customFormat="1" ht="12.75" customHeight="1" x14ac:dyDescent="0.2">
      <c r="A311" s="26"/>
      <c r="B311" s="26"/>
      <c r="C311" s="64">
        <v>1</v>
      </c>
      <c r="D311" s="116">
        <v>25</v>
      </c>
      <c r="E311" s="35" t="s">
        <v>804</v>
      </c>
      <c r="F311" s="34">
        <f>IFERROR(_xlfn.XLOOKUP(E311,Index!$A:$A,Index!$B:$B),"")</f>
        <v>80.5</v>
      </c>
    </row>
    <row r="312" spans="1:6" s="1" customFormat="1" ht="12.75" customHeight="1" x14ac:dyDescent="0.2">
      <c r="A312" s="26"/>
      <c r="B312" s="26"/>
      <c r="C312" s="64">
        <v>1.25</v>
      </c>
      <c r="D312" s="116">
        <v>32</v>
      </c>
      <c r="E312" s="38" t="s">
        <v>5542</v>
      </c>
      <c r="F312" s="250">
        <f>$F$288</f>
        <v>80.5</v>
      </c>
    </row>
    <row r="313" spans="1:6" s="1" customFormat="1" ht="12.75" customHeight="1" x14ac:dyDescent="0.2">
      <c r="A313" s="26"/>
      <c r="B313" s="26"/>
      <c r="C313" s="64">
        <v>1.5</v>
      </c>
      <c r="D313" s="116">
        <v>40</v>
      </c>
      <c r="E313" s="35" t="s">
        <v>805</v>
      </c>
      <c r="F313" s="34">
        <f>IFERROR(_xlfn.XLOOKUP(E313,Index!$A:$A,Index!$B:$B),"")</f>
        <v>92</v>
      </c>
    </row>
    <row r="314" spans="1:6" s="1" customFormat="1" ht="12.75" customHeight="1" x14ac:dyDescent="0.2">
      <c r="A314" s="26"/>
      <c r="B314" s="27"/>
      <c r="C314" s="64">
        <v>2</v>
      </c>
      <c r="D314" s="116">
        <v>50</v>
      </c>
      <c r="E314" s="35" t="s">
        <v>806</v>
      </c>
      <c r="F314" s="34">
        <f>IFERROR(_xlfn.XLOOKUP(E314,Index!$A:$A,Index!$B:$B),"")</f>
        <v>92</v>
      </c>
    </row>
    <row r="315" spans="1:6" s="1" customFormat="1" ht="12.75" customHeight="1" x14ac:dyDescent="0.2">
      <c r="A315" s="26"/>
      <c r="B315" s="60" t="s">
        <v>719</v>
      </c>
      <c r="C315" s="70">
        <v>0.25</v>
      </c>
      <c r="D315" s="38">
        <v>8</v>
      </c>
      <c r="E315" s="35" t="s">
        <v>835</v>
      </c>
      <c r="F315" s="34">
        <f>IFERROR(_xlfn.XLOOKUP(E315,Index!$A:$A,Index!$B:$B),"")</f>
        <v>7</v>
      </c>
    </row>
    <row r="316" spans="1:6" s="1" customFormat="1" ht="12.75" customHeight="1" x14ac:dyDescent="0.2">
      <c r="A316" s="26"/>
      <c r="B316" s="26"/>
      <c r="C316" s="64">
        <v>0.375</v>
      </c>
      <c r="D316" s="116">
        <v>10</v>
      </c>
      <c r="E316" s="35" t="s">
        <v>835</v>
      </c>
      <c r="F316" s="34">
        <f>IFERROR(_xlfn.XLOOKUP(E316,Index!$A:$A,Index!$B:$B),"")</f>
        <v>7</v>
      </c>
    </row>
    <row r="317" spans="1:6" s="1" customFormat="1" ht="12.75" customHeight="1" x14ac:dyDescent="0.2">
      <c r="A317" s="26"/>
      <c r="B317" s="26"/>
      <c r="C317" s="64">
        <v>0.5</v>
      </c>
      <c r="D317" s="116">
        <v>15</v>
      </c>
      <c r="E317" s="35" t="s">
        <v>835</v>
      </c>
      <c r="F317" s="34">
        <f>IFERROR(_xlfn.XLOOKUP(E317,Index!$A:$A,Index!$B:$B),"")</f>
        <v>7</v>
      </c>
    </row>
    <row r="318" spans="1:6" s="1" customFormat="1" ht="12.75" customHeight="1" x14ac:dyDescent="0.2">
      <c r="A318" s="26"/>
      <c r="B318" s="26"/>
      <c r="C318" s="64">
        <v>0.75</v>
      </c>
      <c r="D318" s="116">
        <v>20</v>
      </c>
      <c r="E318" s="35" t="s">
        <v>836</v>
      </c>
      <c r="F318" s="34">
        <f>IFERROR(_xlfn.XLOOKUP(E318,Index!$A:$A,Index!$B:$B),"")</f>
        <v>7</v>
      </c>
    </row>
    <row r="319" spans="1:6" s="1" customFormat="1" ht="12.75" customHeight="1" x14ac:dyDescent="0.2">
      <c r="A319" s="26"/>
      <c r="B319" s="26"/>
      <c r="C319" s="64">
        <v>1</v>
      </c>
      <c r="D319" s="116">
        <v>25</v>
      </c>
      <c r="E319" s="35" t="s">
        <v>837</v>
      </c>
      <c r="F319" s="34">
        <f>IFERROR(_xlfn.XLOOKUP(E319,Index!$A:$A,Index!$B:$B),"")</f>
        <v>20</v>
      </c>
    </row>
    <row r="320" spans="1:6" s="1" customFormat="1" ht="12" x14ac:dyDescent="0.2">
      <c r="A320" s="26"/>
      <c r="B320" s="26"/>
      <c r="C320" s="64">
        <v>1.25</v>
      </c>
      <c r="D320" s="116">
        <v>32</v>
      </c>
      <c r="E320" s="35" t="s">
        <v>838</v>
      </c>
      <c r="F320" s="34">
        <f>IFERROR(_xlfn.XLOOKUP(E320,Index!$A:$A,Index!$B:$B),"")</f>
        <v>33.25</v>
      </c>
    </row>
    <row r="321" spans="1:11" s="1" customFormat="1" ht="12" x14ac:dyDescent="0.2">
      <c r="A321" s="26"/>
      <c r="B321" s="26"/>
      <c r="C321" s="64">
        <v>1.5</v>
      </c>
      <c r="D321" s="116">
        <v>40</v>
      </c>
      <c r="E321" s="35" t="s">
        <v>838</v>
      </c>
      <c r="F321" s="34">
        <f>IFERROR(_xlfn.XLOOKUP(E321,Index!$A:$A,Index!$B:$B),"")</f>
        <v>33.25</v>
      </c>
    </row>
    <row r="322" spans="1:11" s="1" customFormat="1" ht="12.75" customHeight="1" x14ac:dyDescent="0.2">
      <c r="A322" s="27"/>
      <c r="B322" s="27"/>
      <c r="C322" s="64">
        <v>2</v>
      </c>
      <c r="D322" s="116">
        <v>50</v>
      </c>
      <c r="E322" s="35" t="s">
        <v>5557</v>
      </c>
      <c r="F322" s="34">
        <f>IFERROR(_xlfn.XLOOKUP(E322,Index!$A:$A,Index!$B:$B),"")</f>
        <v>52.5</v>
      </c>
    </row>
    <row r="323" spans="1:11" s="1" customFormat="1" ht="12.75" customHeight="1" x14ac:dyDescent="0.25">
      <c r="A323" s="12"/>
      <c r="B323" s="12"/>
      <c r="C323" s="80"/>
      <c r="D323" s="117"/>
      <c r="E323" s="4"/>
      <c r="F323" s="19"/>
      <c r="G323"/>
      <c r="H323"/>
      <c r="I323"/>
      <c r="J323"/>
    </row>
    <row r="324" spans="1:11" s="1" customFormat="1" ht="12.75" customHeight="1" x14ac:dyDescent="0.2">
      <c r="A324" s="71" t="s">
        <v>27</v>
      </c>
      <c r="B324" s="71" t="s">
        <v>647</v>
      </c>
      <c r="C324" s="14"/>
      <c r="D324" s="3"/>
      <c r="E324" s="8"/>
      <c r="F324" s="9"/>
      <c r="G324" s="10"/>
      <c r="H324" s="19"/>
      <c r="I324" s="19"/>
      <c r="J324" s="20"/>
    </row>
    <row r="325" spans="1:11" s="1" customFormat="1" ht="15.75" x14ac:dyDescent="0.2">
      <c r="A325" s="48" t="s">
        <v>1141</v>
      </c>
      <c r="B325" s="11"/>
      <c r="C325" s="4"/>
      <c r="D325" s="4"/>
      <c r="E325" s="5"/>
      <c r="F325" s="9"/>
      <c r="G325" s="4"/>
      <c r="H325" s="19"/>
      <c r="I325" s="19"/>
      <c r="J325" s="20"/>
    </row>
    <row r="326" spans="1:11" s="1" customFormat="1" ht="12" x14ac:dyDescent="0.2">
      <c r="A326" s="25" t="s">
        <v>35</v>
      </c>
      <c r="B326" s="28" t="s">
        <v>36</v>
      </c>
      <c r="C326" s="29" t="s">
        <v>37</v>
      </c>
      <c r="D326" s="22"/>
      <c r="E326" s="22" t="s">
        <v>38</v>
      </c>
      <c r="F326" s="22"/>
      <c r="G326" s="23" t="s">
        <v>39</v>
      </c>
      <c r="H326" s="23"/>
      <c r="I326" s="42" t="s">
        <v>40</v>
      </c>
      <c r="J326" s="24" t="s">
        <v>41</v>
      </c>
    </row>
    <row r="327" spans="1:11" s="1" customFormat="1" ht="12.75" customHeight="1" x14ac:dyDescent="0.2">
      <c r="A327" s="32"/>
      <c r="B327" s="32"/>
      <c r="C327" s="33" t="s">
        <v>42</v>
      </c>
      <c r="D327" s="33" t="s">
        <v>43</v>
      </c>
      <c r="E327" s="33" t="s">
        <v>44</v>
      </c>
      <c r="F327" s="33" t="s">
        <v>45</v>
      </c>
      <c r="G327" s="33" t="s">
        <v>46</v>
      </c>
      <c r="H327" s="39" t="s">
        <v>47</v>
      </c>
      <c r="I327" s="33"/>
      <c r="J327" s="41"/>
    </row>
    <row r="328" spans="1:11" s="1" customFormat="1" ht="12.75" customHeight="1" x14ac:dyDescent="0.2">
      <c r="A328" s="26" t="s">
        <v>1142</v>
      </c>
      <c r="B328" s="26" t="s">
        <v>841</v>
      </c>
      <c r="C328" s="30" t="s">
        <v>50</v>
      </c>
      <c r="D328" s="35" t="s">
        <v>176</v>
      </c>
      <c r="E328" s="82" t="s">
        <v>1143</v>
      </c>
      <c r="F328" s="37">
        <v>15</v>
      </c>
      <c r="G328" s="35">
        <v>5</v>
      </c>
      <c r="H328" s="40">
        <v>2.2999999999999998</v>
      </c>
      <c r="I328" s="38" t="s">
        <v>1144</v>
      </c>
      <c r="J328" s="34">
        <f>IFERROR(_xlfn.XLOOKUP(I328,Index!$A:$A,Index!$B:$B),"")</f>
        <v>1587</v>
      </c>
    </row>
    <row r="329" spans="1:11" s="1" customFormat="1" ht="12.75" customHeight="1" x14ac:dyDescent="0.2">
      <c r="A329" s="26"/>
      <c r="B329" s="26"/>
      <c r="C329" s="30"/>
      <c r="D329" s="35" t="s">
        <v>53</v>
      </c>
      <c r="E329" s="82" t="s">
        <v>1143</v>
      </c>
      <c r="F329" s="37">
        <v>15</v>
      </c>
      <c r="G329" s="35">
        <v>5</v>
      </c>
      <c r="H329" s="40">
        <v>2.2999999999999998</v>
      </c>
      <c r="I329" s="38" t="s">
        <v>1145</v>
      </c>
      <c r="J329" s="34">
        <f>IFERROR(_xlfn.XLOOKUP(I329,Index!$A:$A,Index!$B:$B),"")</f>
        <v>1666</v>
      </c>
    </row>
    <row r="330" spans="1:11" s="1" customFormat="1" ht="12.75" customHeight="1" x14ac:dyDescent="0.2">
      <c r="A330" s="26"/>
      <c r="B330" s="26"/>
      <c r="C330" s="30"/>
      <c r="D330" s="35" t="s">
        <v>55</v>
      </c>
      <c r="E330" s="82" t="s">
        <v>1143</v>
      </c>
      <c r="F330" s="37">
        <v>15</v>
      </c>
      <c r="G330" s="35">
        <v>5</v>
      </c>
      <c r="H330" s="40">
        <v>2.2999999999999998</v>
      </c>
      <c r="I330" s="38" t="s">
        <v>1146</v>
      </c>
      <c r="J330" s="34">
        <f>IFERROR(_xlfn.XLOOKUP(I330,Index!$A:$A,Index!$B:$B),"")</f>
        <v>1666</v>
      </c>
    </row>
    <row r="331" spans="1:11" s="1" customFormat="1" ht="12" x14ac:dyDescent="0.2">
      <c r="A331" s="26"/>
      <c r="B331" s="26"/>
      <c r="C331" s="30"/>
      <c r="D331" s="35" t="s">
        <v>176</v>
      </c>
      <c r="E331" s="82" t="s">
        <v>217</v>
      </c>
      <c r="F331" s="37">
        <v>20</v>
      </c>
      <c r="G331" s="35">
        <v>9</v>
      </c>
      <c r="H331" s="40">
        <v>4.0999999999999996</v>
      </c>
      <c r="I331" s="38" t="s">
        <v>1147</v>
      </c>
      <c r="J331" s="34">
        <f>IFERROR(_xlfn.XLOOKUP(I331,Index!$A:$A,Index!$B:$B),"")</f>
        <v>1790</v>
      </c>
      <c r="K331" s="141"/>
    </row>
    <row r="332" spans="1:11" s="1" customFormat="1" ht="12" x14ac:dyDescent="0.2">
      <c r="A332" s="26"/>
      <c r="B332" s="26"/>
      <c r="C332" s="30"/>
      <c r="D332" s="35" t="s">
        <v>53</v>
      </c>
      <c r="E332" s="82" t="s">
        <v>217</v>
      </c>
      <c r="F332" s="37">
        <v>20</v>
      </c>
      <c r="G332" s="35">
        <v>9</v>
      </c>
      <c r="H332" s="40">
        <v>4.0999999999999996</v>
      </c>
      <c r="I332" s="38" t="s">
        <v>1148</v>
      </c>
      <c r="J332" s="34">
        <f>IFERROR(_xlfn.XLOOKUP(I332,Index!$A:$A,Index!$B:$B),"")</f>
        <v>1878</v>
      </c>
    </row>
    <row r="333" spans="1:11" s="1" customFormat="1" ht="12.75" customHeight="1" x14ac:dyDescent="0.2">
      <c r="A333" s="26"/>
      <c r="B333" s="26"/>
      <c r="C333" s="30"/>
      <c r="D333" s="35" t="s">
        <v>55</v>
      </c>
      <c r="E333" s="82" t="s">
        <v>217</v>
      </c>
      <c r="F333" s="37">
        <v>20</v>
      </c>
      <c r="G333" s="35">
        <v>9</v>
      </c>
      <c r="H333" s="40">
        <v>4.0999999999999996</v>
      </c>
      <c r="I333" s="38" t="s">
        <v>1149</v>
      </c>
      <c r="J333" s="34">
        <f>IFERROR(_xlfn.XLOOKUP(I333,Index!$A:$A,Index!$B:$B),"")</f>
        <v>1878</v>
      </c>
    </row>
    <row r="334" spans="1:11" s="1" customFormat="1" ht="12.75" customHeight="1" x14ac:dyDescent="0.2">
      <c r="A334" s="26"/>
      <c r="B334" s="26"/>
      <c r="C334" s="30"/>
      <c r="D334" s="35" t="s">
        <v>176</v>
      </c>
      <c r="E334" s="82" t="s">
        <v>1150</v>
      </c>
      <c r="F334" s="37">
        <v>25</v>
      </c>
      <c r="G334" s="35">
        <v>10</v>
      </c>
      <c r="H334" s="40">
        <v>4.5</v>
      </c>
      <c r="I334" s="38" t="s">
        <v>1151</v>
      </c>
      <c r="J334" s="34">
        <f>IFERROR(_xlfn.XLOOKUP(I334,Index!$A:$A,Index!$B:$B),"")</f>
        <v>1815</v>
      </c>
    </row>
    <row r="335" spans="1:11" s="1" customFormat="1" ht="12.75" customHeight="1" x14ac:dyDescent="0.2">
      <c r="A335" s="26"/>
      <c r="B335" s="26"/>
      <c r="C335" s="30"/>
      <c r="D335" s="35" t="s">
        <v>53</v>
      </c>
      <c r="E335" s="82" t="s">
        <v>1150</v>
      </c>
      <c r="F335" s="37">
        <v>25</v>
      </c>
      <c r="G335" s="35">
        <v>10</v>
      </c>
      <c r="H335" s="40">
        <v>4.5</v>
      </c>
      <c r="I335" s="38" t="s">
        <v>1152</v>
      </c>
      <c r="J335" s="34">
        <f>IFERROR(_xlfn.XLOOKUP(I335,Index!$A:$A,Index!$B:$B),"")</f>
        <v>1905</v>
      </c>
    </row>
    <row r="336" spans="1:11" s="1" customFormat="1" ht="12.75" customHeight="1" x14ac:dyDescent="0.2">
      <c r="A336" s="26"/>
      <c r="B336" s="26"/>
      <c r="C336" s="30"/>
      <c r="D336" s="35" t="s">
        <v>55</v>
      </c>
      <c r="E336" s="82" t="s">
        <v>1150</v>
      </c>
      <c r="F336" s="37">
        <v>25</v>
      </c>
      <c r="G336" s="35">
        <v>10</v>
      </c>
      <c r="H336" s="40">
        <v>4.5</v>
      </c>
      <c r="I336" s="38" t="s">
        <v>1153</v>
      </c>
      <c r="J336" s="34">
        <f>IFERROR(_xlfn.XLOOKUP(I336,Index!$A:$A,Index!$B:$B),"")</f>
        <v>1905</v>
      </c>
    </row>
    <row r="337" spans="1:17" s="1" customFormat="1" ht="12.75" customHeight="1" x14ac:dyDescent="0.2">
      <c r="A337" s="26"/>
      <c r="B337" s="26"/>
      <c r="C337" s="30"/>
      <c r="D337" s="35" t="s">
        <v>176</v>
      </c>
      <c r="E337" s="82" t="s">
        <v>223</v>
      </c>
      <c r="F337" s="37">
        <v>32</v>
      </c>
      <c r="G337" s="35">
        <v>14</v>
      </c>
      <c r="H337" s="40">
        <v>6.4</v>
      </c>
      <c r="I337" s="38" t="s">
        <v>1154</v>
      </c>
      <c r="J337" s="34">
        <f>IFERROR(_xlfn.XLOOKUP(I337,Index!$A:$A,Index!$B:$B),"")</f>
        <v>2007</v>
      </c>
    </row>
    <row r="338" spans="1:17" s="1" customFormat="1" ht="12.75" customHeight="1" x14ac:dyDescent="0.2">
      <c r="A338" s="26"/>
      <c r="B338" s="26"/>
      <c r="C338" s="30"/>
      <c r="D338" s="35" t="s">
        <v>53</v>
      </c>
      <c r="E338" s="82" t="s">
        <v>223</v>
      </c>
      <c r="F338" s="37">
        <v>32</v>
      </c>
      <c r="G338" s="35">
        <v>14</v>
      </c>
      <c r="H338" s="40">
        <v>6.4</v>
      </c>
      <c r="I338" s="38" t="s">
        <v>1155</v>
      </c>
      <c r="J338" s="34">
        <f>IFERROR(_xlfn.XLOOKUP(I338,Index!$A:$A,Index!$B:$B),"")</f>
        <v>2108</v>
      </c>
    </row>
    <row r="339" spans="1:17" s="1" customFormat="1" ht="12.75" customHeight="1" x14ac:dyDescent="0.2">
      <c r="A339" s="26"/>
      <c r="B339" s="26"/>
      <c r="C339" s="30"/>
      <c r="D339" s="35" t="s">
        <v>55</v>
      </c>
      <c r="E339" s="82" t="s">
        <v>223</v>
      </c>
      <c r="F339" s="37">
        <v>32</v>
      </c>
      <c r="G339" s="35">
        <v>14</v>
      </c>
      <c r="H339" s="40">
        <v>6.4</v>
      </c>
      <c r="I339" s="38" t="s">
        <v>5542</v>
      </c>
      <c r="J339" s="34">
        <f>J338</f>
        <v>2108</v>
      </c>
    </row>
    <row r="340" spans="1:17" s="1" customFormat="1" ht="12.75" customHeight="1" x14ac:dyDescent="0.2">
      <c r="A340" s="26"/>
      <c r="B340" s="26"/>
      <c r="C340" s="30"/>
      <c r="D340" s="35" t="s">
        <v>176</v>
      </c>
      <c r="E340" s="82" t="s">
        <v>225</v>
      </c>
      <c r="F340" s="37">
        <v>40</v>
      </c>
      <c r="G340" s="35">
        <v>17</v>
      </c>
      <c r="H340" s="40">
        <v>7.7</v>
      </c>
      <c r="I340" s="38" t="s">
        <v>1156</v>
      </c>
      <c r="J340" s="34">
        <f>IFERROR(_xlfn.XLOOKUP(I340,Index!$A:$A,Index!$B:$B),"")</f>
        <v>2086</v>
      </c>
    </row>
    <row r="341" spans="1:17" s="1" customFormat="1" ht="12.75" customHeight="1" x14ac:dyDescent="0.2">
      <c r="A341" s="26"/>
      <c r="B341" s="26"/>
      <c r="C341" s="30"/>
      <c r="D341" s="35" t="s">
        <v>53</v>
      </c>
      <c r="E341" s="82" t="s">
        <v>225</v>
      </c>
      <c r="F341" s="37">
        <v>40</v>
      </c>
      <c r="G341" s="35">
        <v>17</v>
      </c>
      <c r="H341" s="40">
        <v>7.7</v>
      </c>
      <c r="I341" s="38" t="s">
        <v>1157</v>
      </c>
      <c r="J341" s="34">
        <f>IFERROR(_xlfn.XLOOKUP(I341,Index!$A:$A,Index!$B:$B),"")</f>
        <v>2191</v>
      </c>
    </row>
    <row r="342" spans="1:17" s="1" customFormat="1" ht="12.75" customHeight="1" x14ac:dyDescent="0.2">
      <c r="A342" s="26"/>
      <c r="B342" s="26"/>
      <c r="C342" s="30"/>
      <c r="D342" s="35" t="s">
        <v>55</v>
      </c>
      <c r="E342" s="82" t="s">
        <v>225</v>
      </c>
      <c r="F342" s="37">
        <v>40</v>
      </c>
      <c r="G342" s="35">
        <v>17</v>
      </c>
      <c r="H342" s="40">
        <v>7.7</v>
      </c>
      <c r="I342" s="38" t="s">
        <v>1158</v>
      </c>
      <c r="J342" s="34">
        <f>IFERROR(_xlfn.XLOOKUP(I342,Index!$A:$A,Index!$B:$B),"")</f>
        <v>2191</v>
      </c>
    </row>
    <row r="343" spans="1:17" s="1" customFormat="1" ht="12.75" customHeight="1" x14ac:dyDescent="0.2">
      <c r="A343" s="26"/>
      <c r="B343" s="26"/>
      <c r="C343" s="30"/>
      <c r="D343" s="35" t="s">
        <v>176</v>
      </c>
      <c r="E343" s="82" t="s">
        <v>1159</v>
      </c>
      <c r="F343" s="37">
        <v>50</v>
      </c>
      <c r="G343" s="35">
        <v>16</v>
      </c>
      <c r="H343" s="40">
        <v>7.3</v>
      </c>
      <c r="I343" s="38" t="s">
        <v>1160</v>
      </c>
      <c r="J343" s="34">
        <f>IFERROR(_xlfn.XLOOKUP(I343,Index!$A:$A,Index!$B:$B),"")</f>
        <v>1774</v>
      </c>
    </row>
    <row r="344" spans="1:17" s="1" customFormat="1" ht="12.75" customHeight="1" x14ac:dyDescent="0.2">
      <c r="A344" s="26"/>
      <c r="B344" s="26"/>
      <c r="C344" s="30"/>
      <c r="D344" s="35" t="s">
        <v>53</v>
      </c>
      <c r="E344" s="82" t="s">
        <v>1159</v>
      </c>
      <c r="F344" s="37">
        <v>50</v>
      </c>
      <c r="G344" s="35">
        <v>16</v>
      </c>
      <c r="H344" s="40">
        <v>7.3</v>
      </c>
      <c r="I344" s="38" t="s">
        <v>1161</v>
      </c>
      <c r="J344" s="34">
        <f>IFERROR(_xlfn.XLOOKUP(I344,Index!$A:$A,Index!$B:$B),"")</f>
        <v>1861</v>
      </c>
      <c r="K344" s="141"/>
    </row>
    <row r="345" spans="1:17" s="1" customFormat="1" ht="12.75" customHeight="1" x14ac:dyDescent="0.2">
      <c r="A345" s="26"/>
      <c r="B345" s="26"/>
      <c r="C345" s="30"/>
      <c r="D345" s="35" t="s">
        <v>55</v>
      </c>
      <c r="E345" s="82" t="s">
        <v>1159</v>
      </c>
      <c r="F345" s="37">
        <v>50</v>
      </c>
      <c r="G345" s="35">
        <v>16</v>
      </c>
      <c r="H345" s="40">
        <v>7.3</v>
      </c>
      <c r="I345" s="38" t="s">
        <v>1162</v>
      </c>
      <c r="J345" s="34">
        <f>IFERROR(_xlfn.XLOOKUP(I345,Index!$A:$A,Index!$B:$B),"")</f>
        <v>1861</v>
      </c>
    </row>
    <row r="346" spans="1:17" s="79" customFormat="1" ht="12" x14ac:dyDescent="0.2">
      <c r="A346" s="26"/>
      <c r="B346" s="26"/>
      <c r="C346" s="30"/>
      <c r="D346" s="35" t="s">
        <v>176</v>
      </c>
      <c r="E346" s="82" t="s">
        <v>231</v>
      </c>
      <c r="F346" s="37">
        <v>65</v>
      </c>
      <c r="G346" s="35">
        <v>27</v>
      </c>
      <c r="H346" s="40">
        <v>12.2</v>
      </c>
      <c r="I346" s="38" t="s">
        <v>1163</v>
      </c>
      <c r="J346" s="34">
        <f>IFERROR(_xlfn.XLOOKUP(I346,Index!$A:$A,Index!$B:$B),"")</f>
        <v>2573</v>
      </c>
      <c r="K346" s="1"/>
      <c r="L346" s="1"/>
      <c r="M346" s="1"/>
      <c r="N346" s="1"/>
      <c r="O346" s="1"/>
      <c r="P346" s="1"/>
      <c r="Q346" s="1"/>
    </row>
    <row r="347" spans="1:17" s="1" customFormat="1" ht="12" x14ac:dyDescent="0.2">
      <c r="A347" s="26"/>
      <c r="B347" s="26"/>
      <c r="C347" s="30"/>
      <c r="D347" s="35" t="s">
        <v>53</v>
      </c>
      <c r="E347" s="82" t="s">
        <v>231</v>
      </c>
      <c r="F347" s="37">
        <v>65</v>
      </c>
      <c r="G347" s="35">
        <v>27</v>
      </c>
      <c r="H347" s="40">
        <v>12.2</v>
      </c>
      <c r="I347" s="38" t="s">
        <v>1164</v>
      </c>
      <c r="J347" s="34">
        <f>IFERROR(_xlfn.XLOOKUP(I347,Index!$A:$A,Index!$B:$B),"")</f>
        <v>2701</v>
      </c>
    </row>
    <row r="348" spans="1:17" s="1" customFormat="1" ht="12.75" customHeight="1" x14ac:dyDescent="0.2">
      <c r="A348" s="26"/>
      <c r="B348" s="26"/>
      <c r="C348" s="30"/>
      <c r="D348" s="35" t="s">
        <v>55</v>
      </c>
      <c r="E348" s="82" t="s">
        <v>231</v>
      </c>
      <c r="F348" s="37">
        <v>65</v>
      </c>
      <c r="G348" s="35">
        <v>27</v>
      </c>
      <c r="H348" s="40">
        <v>12.2</v>
      </c>
      <c r="I348" s="38" t="s">
        <v>1165</v>
      </c>
      <c r="J348" s="34">
        <f>IFERROR(_xlfn.XLOOKUP(I348,Index!$A:$A,Index!$B:$B),"")</f>
        <v>2701</v>
      </c>
    </row>
    <row r="349" spans="1:17" s="1" customFormat="1" ht="12.75" customHeight="1" x14ac:dyDescent="0.2">
      <c r="A349" s="26"/>
      <c r="B349" s="26"/>
      <c r="C349" s="30"/>
      <c r="D349" s="35" t="s">
        <v>176</v>
      </c>
      <c r="E349" s="82" t="s">
        <v>1166</v>
      </c>
      <c r="F349" s="37">
        <v>80</v>
      </c>
      <c r="G349" s="35">
        <v>30</v>
      </c>
      <c r="H349" s="40">
        <v>13.6</v>
      </c>
      <c r="I349" s="38" t="s">
        <v>1167</v>
      </c>
      <c r="J349" s="34">
        <f>IFERROR(_xlfn.XLOOKUP(I349,Index!$A:$A,Index!$B:$B),"")</f>
        <v>3336</v>
      </c>
      <c r="K349" s="141"/>
    </row>
    <row r="350" spans="1:17" s="1" customFormat="1" ht="12.75" customHeight="1" x14ac:dyDescent="0.2">
      <c r="A350" s="26"/>
      <c r="B350" s="26"/>
      <c r="C350" s="30"/>
      <c r="D350" s="35" t="s">
        <v>53</v>
      </c>
      <c r="E350" s="82" t="s">
        <v>1166</v>
      </c>
      <c r="F350" s="37">
        <v>80</v>
      </c>
      <c r="G350" s="35">
        <v>30</v>
      </c>
      <c r="H350" s="40">
        <v>13.6</v>
      </c>
      <c r="I350" s="38" t="s">
        <v>1168</v>
      </c>
      <c r="J350" s="34">
        <f>IFERROR(_xlfn.XLOOKUP(I350,Index!$A:$A,Index!$B:$B),"")</f>
        <v>3504</v>
      </c>
    </row>
    <row r="351" spans="1:17" s="55" customFormat="1" ht="14.25" x14ac:dyDescent="0.2">
      <c r="A351" s="26"/>
      <c r="B351" s="26"/>
      <c r="C351" s="30"/>
      <c r="D351" s="35" t="s">
        <v>55</v>
      </c>
      <c r="E351" s="82" t="s">
        <v>1166</v>
      </c>
      <c r="F351" s="37">
        <v>80</v>
      </c>
      <c r="G351" s="35">
        <v>30</v>
      </c>
      <c r="H351" s="40">
        <v>13.6</v>
      </c>
      <c r="I351" s="38" t="s">
        <v>1169</v>
      </c>
      <c r="J351" s="34">
        <f>IFERROR(_xlfn.XLOOKUP(I351,Index!$A:$A,Index!$B:$B),"")</f>
        <v>3504</v>
      </c>
      <c r="K351" s="1"/>
      <c r="L351" s="1"/>
      <c r="M351" s="1"/>
      <c r="N351" s="1"/>
      <c r="O351" s="1"/>
      <c r="P351" s="1"/>
      <c r="Q351" s="1"/>
    </row>
    <row r="352" spans="1:17" s="55" customFormat="1" ht="14.25" x14ac:dyDescent="0.2">
      <c r="A352" s="26"/>
      <c r="B352" s="26"/>
      <c r="C352" s="30"/>
      <c r="D352" s="35" t="s">
        <v>176</v>
      </c>
      <c r="E352" s="82" t="s">
        <v>1170</v>
      </c>
      <c r="F352" s="37">
        <v>100</v>
      </c>
      <c r="G352" s="35">
        <v>51</v>
      </c>
      <c r="H352" s="40">
        <v>23.1</v>
      </c>
      <c r="I352" s="38" t="s">
        <v>1171</v>
      </c>
      <c r="J352" s="34">
        <f>IFERROR(_xlfn.XLOOKUP(I352,Index!$A:$A,Index!$B:$B),"")</f>
        <v>5313</v>
      </c>
      <c r="K352" s="141"/>
      <c r="L352" s="1"/>
      <c r="M352" s="1"/>
      <c r="N352" s="1"/>
      <c r="O352" s="1"/>
      <c r="P352" s="1"/>
      <c r="Q352" s="1"/>
    </row>
    <row r="353" spans="1:10" s="1" customFormat="1" ht="12.75" customHeight="1" x14ac:dyDescent="0.2">
      <c r="A353" s="26"/>
      <c r="B353" s="26"/>
      <c r="C353" s="30"/>
      <c r="D353" s="35" t="s">
        <v>53</v>
      </c>
      <c r="E353" s="82" t="s">
        <v>1170</v>
      </c>
      <c r="F353" s="37">
        <v>100</v>
      </c>
      <c r="G353" s="35">
        <v>51</v>
      </c>
      <c r="H353" s="40">
        <v>23.1</v>
      </c>
      <c r="I353" s="38" t="s">
        <v>1172</v>
      </c>
      <c r="J353" s="34">
        <f>IFERROR(_xlfn.XLOOKUP(I353,Index!$A:$A,Index!$B:$B),"")</f>
        <v>5579</v>
      </c>
    </row>
    <row r="354" spans="1:10" s="1" customFormat="1" ht="12.75" customHeight="1" x14ac:dyDescent="0.2">
      <c r="A354" s="26"/>
      <c r="B354" s="26"/>
      <c r="C354" s="30"/>
      <c r="D354" s="35" t="s">
        <v>55</v>
      </c>
      <c r="E354" s="82" t="s">
        <v>1170</v>
      </c>
      <c r="F354" s="37">
        <v>100</v>
      </c>
      <c r="G354" s="35">
        <v>51</v>
      </c>
      <c r="H354" s="40">
        <v>23.1</v>
      </c>
      <c r="I354" s="38" t="s">
        <v>1173</v>
      </c>
      <c r="J354" s="34">
        <f>IFERROR(_xlfn.XLOOKUP(I354,Index!$A:$A,Index!$B:$B),"")</f>
        <v>5579</v>
      </c>
    </row>
    <row r="355" spans="1:10" s="1" customFormat="1" ht="12.75" customHeight="1" x14ac:dyDescent="0.2">
      <c r="A355" s="26"/>
      <c r="B355" s="26"/>
      <c r="C355" s="30"/>
      <c r="D355" s="35" t="s">
        <v>241</v>
      </c>
      <c r="E355" s="82" t="s">
        <v>1174</v>
      </c>
      <c r="F355" s="37">
        <v>125</v>
      </c>
      <c r="G355" s="35">
        <v>81</v>
      </c>
      <c r="H355" s="40">
        <v>36.700000000000003</v>
      </c>
      <c r="I355" s="38" t="s">
        <v>1175</v>
      </c>
      <c r="J355" s="34">
        <f>IFERROR(_xlfn.XLOOKUP(I355,Index!$A:$A,Index!$B:$B),"")</f>
        <v>8693</v>
      </c>
    </row>
    <row r="356" spans="1:10" s="1" customFormat="1" ht="12.75" customHeight="1" x14ac:dyDescent="0.2">
      <c r="A356" s="26"/>
      <c r="B356" s="26"/>
      <c r="C356" s="30"/>
      <c r="D356" s="35" t="s">
        <v>53</v>
      </c>
      <c r="E356" s="82" t="s">
        <v>1174</v>
      </c>
      <c r="F356" s="37">
        <v>125</v>
      </c>
      <c r="G356" s="35">
        <v>81</v>
      </c>
      <c r="H356" s="40">
        <v>36.700000000000003</v>
      </c>
      <c r="I356" s="38" t="s">
        <v>1176</v>
      </c>
      <c r="J356" s="34">
        <f>IFERROR(_xlfn.XLOOKUP(I356,Index!$A:$A,Index!$B:$B),"")</f>
        <v>9129</v>
      </c>
    </row>
    <row r="357" spans="1:10" s="1" customFormat="1" ht="12.75" customHeight="1" x14ac:dyDescent="0.2">
      <c r="A357" s="26"/>
      <c r="B357" s="26"/>
      <c r="C357" s="30"/>
      <c r="D357" s="35" t="s">
        <v>55</v>
      </c>
      <c r="E357" s="82" t="s">
        <v>1174</v>
      </c>
      <c r="F357" s="37">
        <v>125</v>
      </c>
      <c r="G357" s="35">
        <v>81</v>
      </c>
      <c r="H357" s="40">
        <v>36.700000000000003</v>
      </c>
      <c r="I357" s="38" t="s">
        <v>1177</v>
      </c>
      <c r="J357" s="34">
        <f>IFERROR(_xlfn.XLOOKUP(I357,Index!$A:$A,Index!$B:$B),"")</f>
        <v>9129</v>
      </c>
    </row>
    <row r="358" spans="1:10" s="1" customFormat="1" ht="12.75" customHeight="1" x14ac:dyDescent="0.2">
      <c r="A358" s="26"/>
      <c r="B358" s="26"/>
      <c r="C358" s="30"/>
      <c r="D358" s="35" t="s">
        <v>241</v>
      </c>
      <c r="E358" s="82" t="s">
        <v>1178</v>
      </c>
      <c r="F358" s="37">
        <v>150</v>
      </c>
      <c r="G358" s="35">
        <v>109</v>
      </c>
      <c r="H358" s="40">
        <v>49.4</v>
      </c>
      <c r="I358" s="38" t="s">
        <v>1179</v>
      </c>
      <c r="J358" s="34">
        <f>IFERROR(_xlfn.XLOOKUP(I358,Index!$A:$A,Index!$B:$B),"")</f>
        <v>10204</v>
      </c>
    </row>
    <row r="359" spans="1:10" s="1" customFormat="1" ht="12.75" customHeight="1" x14ac:dyDescent="0.2">
      <c r="A359" s="26"/>
      <c r="B359" s="26"/>
      <c r="C359" s="30"/>
      <c r="D359" s="35" t="s">
        <v>53</v>
      </c>
      <c r="E359" s="82" t="s">
        <v>1178</v>
      </c>
      <c r="F359" s="37">
        <v>150</v>
      </c>
      <c r="G359" s="35">
        <v>109</v>
      </c>
      <c r="H359" s="40">
        <v>49.4</v>
      </c>
      <c r="I359" s="38" t="s">
        <v>1180</v>
      </c>
      <c r="J359" s="34">
        <f>IFERROR(_xlfn.XLOOKUP(I359,Index!$A:$A,Index!$B:$B),"")</f>
        <v>10714</v>
      </c>
    </row>
    <row r="360" spans="1:10" s="1" customFormat="1" ht="12.75" customHeight="1" x14ac:dyDescent="0.2">
      <c r="A360" s="26"/>
      <c r="B360" s="26"/>
      <c r="C360" s="30"/>
      <c r="D360" s="35" t="s">
        <v>55</v>
      </c>
      <c r="E360" s="82" t="s">
        <v>1178</v>
      </c>
      <c r="F360" s="37">
        <v>150</v>
      </c>
      <c r="G360" s="35">
        <v>109</v>
      </c>
      <c r="H360" s="40">
        <v>49.4</v>
      </c>
      <c r="I360" s="38" t="s">
        <v>1181</v>
      </c>
      <c r="J360" s="34">
        <f>IFERROR(_xlfn.XLOOKUP(I360,Index!$A:$A,Index!$B:$B),"")</f>
        <v>10714</v>
      </c>
    </row>
    <row r="361" spans="1:10" s="1" customFormat="1" ht="12.75" customHeight="1" x14ac:dyDescent="0.2">
      <c r="A361" s="26"/>
      <c r="B361" s="26"/>
      <c r="C361" s="30"/>
      <c r="D361" s="35" t="s">
        <v>241</v>
      </c>
      <c r="E361" s="82" t="s">
        <v>1182</v>
      </c>
      <c r="F361" s="37">
        <v>200</v>
      </c>
      <c r="G361" s="35">
        <v>190</v>
      </c>
      <c r="H361" s="40">
        <v>86.2</v>
      </c>
      <c r="I361" s="38" t="s">
        <v>1183</v>
      </c>
      <c r="J361" s="34">
        <f>IFERROR(_xlfn.XLOOKUP(I361,Index!$A:$A,Index!$B:$B),"")</f>
        <v>14645</v>
      </c>
    </row>
    <row r="362" spans="1:10" s="1" customFormat="1" ht="12.75" customHeight="1" x14ac:dyDescent="0.2">
      <c r="A362" s="26"/>
      <c r="B362" s="26"/>
      <c r="C362" s="30"/>
      <c r="D362" s="35" t="s">
        <v>53</v>
      </c>
      <c r="E362" s="82" t="s">
        <v>1182</v>
      </c>
      <c r="F362" s="37">
        <v>200</v>
      </c>
      <c r="G362" s="35">
        <v>190</v>
      </c>
      <c r="H362" s="40">
        <v>86.2</v>
      </c>
      <c r="I362" s="38" t="s">
        <v>1184</v>
      </c>
      <c r="J362" s="34">
        <f>IFERROR(_xlfn.XLOOKUP(I362,Index!$A:$A,Index!$B:$B),"")</f>
        <v>15378</v>
      </c>
    </row>
    <row r="363" spans="1:10" s="1" customFormat="1" ht="12.75" customHeight="1" x14ac:dyDescent="0.2">
      <c r="A363" s="26"/>
      <c r="B363" s="26"/>
      <c r="C363" s="30"/>
      <c r="D363" s="35" t="s">
        <v>55</v>
      </c>
      <c r="E363" s="82" t="s">
        <v>1182</v>
      </c>
      <c r="F363" s="37">
        <v>200</v>
      </c>
      <c r="G363" s="35">
        <v>190</v>
      </c>
      <c r="H363" s="40">
        <v>86.2</v>
      </c>
      <c r="I363" s="38" t="s">
        <v>1185</v>
      </c>
      <c r="J363" s="34">
        <f>IFERROR(_xlfn.XLOOKUP(I363,Index!$A:$A,Index!$B:$B),"")</f>
        <v>15378</v>
      </c>
    </row>
    <row r="364" spans="1:10" s="1" customFormat="1" ht="12.75" customHeight="1" x14ac:dyDescent="0.2">
      <c r="A364" s="26"/>
      <c r="B364" s="26"/>
      <c r="C364" s="30"/>
      <c r="D364" s="35" t="s">
        <v>241</v>
      </c>
      <c r="E364" s="82" t="s">
        <v>1186</v>
      </c>
      <c r="F364" s="37">
        <v>250</v>
      </c>
      <c r="G364" s="35">
        <v>266</v>
      </c>
      <c r="H364" s="40">
        <v>120.7</v>
      </c>
      <c r="I364" s="38" t="s">
        <v>1187</v>
      </c>
      <c r="J364" s="34">
        <f>IFERROR(_xlfn.XLOOKUP(I364,Index!$A:$A,Index!$B:$B),"")</f>
        <v>21241</v>
      </c>
    </row>
    <row r="365" spans="1:10" s="1" customFormat="1" ht="12.75" customHeight="1" x14ac:dyDescent="0.2">
      <c r="A365" s="26"/>
      <c r="B365" s="26"/>
      <c r="C365" s="30"/>
      <c r="D365" s="35" t="s">
        <v>53</v>
      </c>
      <c r="E365" s="82" t="s">
        <v>1186</v>
      </c>
      <c r="F365" s="37">
        <v>250</v>
      </c>
      <c r="G365" s="35">
        <v>266</v>
      </c>
      <c r="H365" s="40">
        <v>120.7</v>
      </c>
      <c r="I365" s="38" t="s">
        <v>1188</v>
      </c>
      <c r="J365" s="34">
        <f>IFERROR(_xlfn.XLOOKUP(I365,Index!$A:$A,Index!$B:$B),"")</f>
        <v>22301</v>
      </c>
    </row>
    <row r="366" spans="1:10" s="1" customFormat="1" ht="12.75" customHeight="1" x14ac:dyDescent="0.2">
      <c r="A366" s="26"/>
      <c r="B366" s="26"/>
      <c r="C366" s="30"/>
      <c r="D366" s="35" t="s">
        <v>55</v>
      </c>
      <c r="E366" s="82" t="s">
        <v>1186</v>
      </c>
      <c r="F366" s="37">
        <v>250</v>
      </c>
      <c r="G366" s="35">
        <v>266</v>
      </c>
      <c r="H366" s="40">
        <v>120.7</v>
      </c>
      <c r="I366" s="38" t="s">
        <v>1189</v>
      </c>
      <c r="J366" s="34">
        <f>IFERROR(_xlfn.XLOOKUP(I366,Index!$A:$A,Index!$B:$B),"")</f>
        <v>22301</v>
      </c>
    </row>
    <row r="367" spans="1:10" s="1" customFormat="1" ht="12.75" customHeight="1" x14ac:dyDescent="0.2">
      <c r="A367" s="26"/>
      <c r="B367" s="26"/>
      <c r="C367" s="30"/>
      <c r="D367" s="35" t="s">
        <v>241</v>
      </c>
      <c r="E367" s="82" t="s">
        <v>1190</v>
      </c>
      <c r="F367" s="37">
        <v>300</v>
      </c>
      <c r="G367" s="35">
        <v>422</v>
      </c>
      <c r="H367" s="40">
        <v>191.4</v>
      </c>
      <c r="I367" s="38" t="s">
        <v>1191</v>
      </c>
      <c r="J367" s="34">
        <f>IFERROR(_xlfn.XLOOKUP(I367,Index!$A:$A,Index!$B:$B),"")</f>
        <v>31859</v>
      </c>
    </row>
    <row r="368" spans="1:10" s="1" customFormat="1" ht="12" x14ac:dyDescent="0.2">
      <c r="A368" s="26"/>
      <c r="B368" s="26"/>
      <c r="C368" s="30"/>
      <c r="D368" s="35" t="s">
        <v>53</v>
      </c>
      <c r="E368" s="82" t="s">
        <v>1190</v>
      </c>
      <c r="F368" s="37">
        <v>300</v>
      </c>
      <c r="G368" s="35">
        <v>422</v>
      </c>
      <c r="H368" s="40">
        <v>191.4</v>
      </c>
      <c r="I368" s="38" t="s">
        <v>5612</v>
      </c>
      <c r="J368" s="34">
        <f>IFERROR(_xlfn.XLOOKUP(I368,Index!$A:$A,Index!$B:$B),"")</f>
        <v>33450</v>
      </c>
    </row>
    <row r="369" spans="1:16" s="1" customFormat="1" ht="12" x14ac:dyDescent="0.2">
      <c r="A369" s="26"/>
      <c r="B369" s="26"/>
      <c r="C369" s="30"/>
      <c r="D369" s="35" t="s">
        <v>55</v>
      </c>
      <c r="E369" s="82" t="s">
        <v>1190</v>
      </c>
      <c r="F369" s="37">
        <v>300</v>
      </c>
      <c r="G369" s="35">
        <v>422</v>
      </c>
      <c r="H369" s="40">
        <v>191.4</v>
      </c>
      <c r="I369" s="38" t="s">
        <v>5613</v>
      </c>
      <c r="J369" s="34">
        <f>IFERROR(_xlfn.XLOOKUP(I369,Index!$A:$A,Index!$B:$B),"")</f>
        <v>33450</v>
      </c>
    </row>
    <row r="370" spans="1:16" s="1" customFormat="1" ht="12.75" customHeight="1" x14ac:dyDescent="0.25">
      <c r="A370" s="26"/>
      <c r="B370" s="26"/>
      <c r="C370" s="30"/>
      <c r="D370" s="35" t="s">
        <v>241</v>
      </c>
      <c r="E370" s="82" t="s">
        <v>1192</v>
      </c>
      <c r="F370" s="86">
        <v>350</v>
      </c>
      <c r="G370" s="35">
        <v>975</v>
      </c>
      <c r="H370" s="40">
        <v>442</v>
      </c>
      <c r="I370" s="38" t="s">
        <v>1193</v>
      </c>
      <c r="J370" s="34">
        <f>IFERROR(_xlfn.XLOOKUP(I370,Index!$A:$A,Index!$B:$B),"")</f>
        <v>38229</v>
      </c>
    </row>
    <row r="371" spans="1:16" s="1" customFormat="1" ht="12.75" customHeight="1" x14ac:dyDescent="0.25">
      <c r="A371" s="26"/>
      <c r="B371" s="26"/>
      <c r="C371" s="30"/>
      <c r="D371" s="35" t="s">
        <v>53</v>
      </c>
      <c r="E371" s="82" t="s">
        <v>1192</v>
      </c>
      <c r="F371" s="86">
        <v>350</v>
      </c>
      <c r="G371" s="35">
        <v>975</v>
      </c>
      <c r="H371" s="40">
        <v>442</v>
      </c>
      <c r="I371" s="38" t="s">
        <v>5542</v>
      </c>
      <c r="J371" s="34">
        <f>J370+1500</f>
        <v>39729</v>
      </c>
    </row>
    <row r="372" spans="1:16" s="1" customFormat="1" ht="12.75" customHeight="1" x14ac:dyDescent="0.25">
      <c r="A372" s="26"/>
      <c r="B372" s="26"/>
      <c r="C372" s="30"/>
      <c r="D372" s="35" t="s">
        <v>55</v>
      </c>
      <c r="E372" s="82" t="s">
        <v>1192</v>
      </c>
      <c r="F372" s="86">
        <v>350</v>
      </c>
      <c r="G372" s="35">
        <v>975</v>
      </c>
      <c r="H372" s="40">
        <v>442</v>
      </c>
      <c r="I372" s="38" t="s">
        <v>5542</v>
      </c>
      <c r="J372" s="34">
        <f>J371</f>
        <v>39729</v>
      </c>
    </row>
    <row r="373" spans="1:16" s="1" customFormat="1" ht="12.75" customHeight="1" x14ac:dyDescent="0.25">
      <c r="A373" s="26"/>
      <c r="B373" s="26"/>
      <c r="C373" s="30"/>
      <c r="D373" s="35" t="s">
        <v>241</v>
      </c>
      <c r="E373" s="82" t="s">
        <v>1194</v>
      </c>
      <c r="F373" s="86">
        <v>400</v>
      </c>
      <c r="G373" s="35">
        <v>1635</v>
      </c>
      <c r="H373" s="40">
        <v>741</v>
      </c>
      <c r="I373" s="38" t="s">
        <v>1195</v>
      </c>
      <c r="J373" s="34">
        <f>IFERROR(_xlfn.XLOOKUP(I373,Index!$A:$A,Index!$B:$B),"")</f>
        <v>45874</v>
      </c>
    </row>
    <row r="374" spans="1:16" s="1" customFormat="1" ht="12.75" customHeight="1" x14ac:dyDescent="0.25">
      <c r="A374" s="26"/>
      <c r="B374" s="26"/>
      <c r="C374" s="30"/>
      <c r="D374" s="35" t="s">
        <v>53</v>
      </c>
      <c r="E374" s="82" t="s">
        <v>1194</v>
      </c>
      <c r="F374" s="86">
        <v>400</v>
      </c>
      <c r="G374" s="35">
        <v>1635</v>
      </c>
      <c r="H374" s="40">
        <v>741</v>
      </c>
      <c r="I374" s="38" t="s">
        <v>5542</v>
      </c>
      <c r="J374" s="34">
        <f>J373+1800</f>
        <v>47674</v>
      </c>
    </row>
    <row r="375" spans="1:16" s="1" customFormat="1" ht="12.75" customHeight="1" x14ac:dyDescent="0.25">
      <c r="A375" s="26"/>
      <c r="B375" s="26"/>
      <c r="C375" s="30"/>
      <c r="D375" s="35" t="s">
        <v>55</v>
      </c>
      <c r="E375" s="82" t="s">
        <v>1194</v>
      </c>
      <c r="F375" s="86">
        <v>400</v>
      </c>
      <c r="G375" s="35">
        <v>1635</v>
      </c>
      <c r="H375" s="40">
        <v>741</v>
      </c>
      <c r="I375" s="38" t="s">
        <v>5542</v>
      </c>
      <c r="J375" s="34">
        <f>J374</f>
        <v>47674</v>
      </c>
    </row>
    <row r="376" spans="1:16" s="1" customFormat="1" ht="12.75" customHeight="1" x14ac:dyDescent="0.25">
      <c r="A376" s="26"/>
      <c r="B376" s="26"/>
      <c r="C376" s="30"/>
      <c r="D376" s="35" t="s">
        <v>241</v>
      </c>
      <c r="E376" s="82" t="s">
        <v>1196</v>
      </c>
      <c r="F376" s="86">
        <v>450</v>
      </c>
      <c r="G376" s="35">
        <v>2376</v>
      </c>
      <c r="H376" s="40">
        <v>1078</v>
      </c>
      <c r="I376" s="38" t="s">
        <v>5542</v>
      </c>
      <c r="J376" s="34">
        <f>J375+5402</f>
        <v>53076</v>
      </c>
    </row>
    <row r="377" spans="1:16" s="1" customFormat="1" ht="12.75" customHeight="1" x14ac:dyDescent="0.25">
      <c r="A377" s="26"/>
      <c r="B377" s="26"/>
      <c r="C377" s="30"/>
      <c r="D377" s="35" t="s">
        <v>53</v>
      </c>
      <c r="E377" s="82" t="s">
        <v>1196</v>
      </c>
      <c r="F377" s="86">
        <v>450</v>
      </c>
      <c r="G377" s="35">
        <v>2376</v>
      </c>
      <c r="H377" s="40">
        <v>1078</v>
      </c>
      <c r="I377" s="38" t="s">
        <v>5542</v>
      </c>
      <c r="J377" s="34">
        <f>J376+2161</f>
        <v>55237</v>
      </c>
    </row>
    <row r="378" spans="1:16" s="1" customFormat="1" ht="12.75" customHeight="1" x14ac:dyDescent="0.25">
      <c r="A378" s="27"/>
      <c r="B378" s="27"/>
      <c r="C378" s="31"/>
      <c r="D378" s="35" t="s">
        <v>55</v>
      </c>
      <c r="E378" s="82" t="s">
        <v>1196</v>
      </c>
      <c r="F378" s="86">
        <v>450</v>
      </c>
      <c r="G378" s="35">
        <v>2376</v>
      </c>
      <c r="H378" s="40">
        <v>1078</v>
      </c>
      <c r="I378" s="38" t="s">
        <v>5542</v>
      </c>
      <c r="J378" s="34">
        <f>J377</f>
        <v>55237</v>
      </c>
    </row>
    <row r="379" spans="1:16" s="1" customFormat="1" ht="12.75" customHeight="1" x14ac:dyDescent="0.25">
      <c r="A379" s="12"/>
      <c r="B379" s="12"/>
      <c r="C379" s="4"/>
      <c r="D379" s="4"/>
      <c r="E379" s="73"/>
      <c r="F379" s="280"/>
      <c r="G379" s="4"/>
      <c r="H379" s="19"/>
      <c r="I379" s="19"/>
      <c r="J379" s="84"/>
    </row>
    <row r="380" spans="1:16" s="1" customFormat="1" ht="12.75" customHeight="1" x14ac:dyDescent="0.25">
      <c r="A380" s="18" t="s">
        <v>5823</v>
      </c>
      <c r="B380" s="63" t="s">
        <v>647</v>
      </c>
      <c r="D380" s="49"/>
      <c r="E380" s="50"/>
      <c r="F380" s="51"/>
      <c r="G380" s="52"/>
      <c r="H380" s="53"/>
      <c r="I380" s="53"/>
      <c r="J380" s="54"/>
      <c r="K380"/>
      <c r="L380"/>
      <c r="M380"/>
      <c r="N380"/>
      <c r="O380"/>
      <c r="P380"/>
    </row>
    <row r="381" spans="1:16" s="1" customFormat="1" ht="15.75" x14ac:dyDescent="0.25">
      <c r="A381" s="48" t="s">
        <v>5825</v>
      </c>
      <c r="B381" s="57"/>
      <c r="C381" s="58"/>
      <c r="D381" s="58"/>
      <c r="E381" s="59"/>
      <c r="F381" s="51"/>
      <c r="G381" s="58"/>
      <c r="H381" s="53"/>
      <c r="I381" s="53"/>
      <c r="J381" s="54"/>
      <c r="K381"/>
      <c r="L381"/>
      <c r="M381"/>
      <c r="N381"/>
      <c r="O381"/>
      <c r="P381"/>
    </row>
    <row r="382" spans="1:16" s="1" customFormat="1" x14ac:dyDescent="0.25">
      <c r="A382" s="25" t="s">
        <v>35</v>
      </c>
      <c r="B382" s="28" t="s">
        <v>36</v>
      </c>
      <c r="C382" s="333" t="s">
        <v>37</v>
      </c>
      <c r="D382" s="334"/>
      <c r="E382" s="335" t="s">
        <v>38</v>
      </c>
      <c r="F382" s="336"/>
      <c r="G382" s="335" t="s">
        <v>39</v>
      </c>
      <c r="H382" s="336"/>
      <c r="I382" s="42" t="s">
        <v>40</v>
      </c>
      <c r="J382" s="43" t="s">
        <v>41</v>
      </c>
      <c r="K382"/>
      <c r="L382"/>
      <c r="M382"/>
      <c r="N382"/>
      <c r="O382"/>
      <c r="P382"/>
    </row>
    <row r="383" spans="1:16" s="1" customFormat="1" ht="12.75" customHeight="1" x14ac:dyDescent="0.25">
      <c r="A383" s="32"/>
      <c r="B383" s="32"/>
      <c r="C383" s="33" t="s">
        <v>42</v>
      </c>
      <c r="D383" s="33" t="s">
        <v>43</v>
      </c>
      <c r="E383" s="33" t="s">
        <v>44</v>
      </c>
      <c r="F383" s="33" t="s">
        <v>45</v>
      </c>
      <c r="G383" s="33" t="s">
        <v>46</v>
      </c>
      <c r="H383" s="33" t="s">
        <v>47</v>
      </c>
      <c r="I383" s="33"/>
      <c r="J383" s="44"/>
      <c r="K383"/>
      <c r="L383"/>
      <c r="M383"/>
      <c r="N383"/>
      <c r="O383"/>
      <c r="P383"/>
    </row>
    <row r="384" spans="1:16" s="1" customFormat="1" ht="12.75" customHeight="1" x14ac:dyDescent="0.25">
      <c r="A384" s="26" t="s">
        <v>5824</v>
      </c>
      <c r="B384" s="26" t="s">
        <v>841</v>
      </c>
      <c r="C384" s="30" t="s">
        <v>50</v>
      </c>
      <c r="D384" s="35" t="s">
        <v>176</v>
      </c>
      <c r="E384" s="36">
        <v>2</v>
      </c>
      <c r="F384" s="45">
        <v>50</v>
      </c>
      <c r="G384" s="35">
        <v>16</v>
      </c>
      <c r="H384" s="38">
        <v>7.3</v>
      </c>
      <c r="I384" s="38" t="s">
        <v>5827</v>
      </c>
      <c r="J384" s="34">
        <f>IFERROR(_xlfn.XLOOKUP(I384,Index!$A:$A,Index!$B:$B),"")</f>
        <v>1273</v>
      </c>
      <c r="K384"/>
      <c r="L384"/>
      <c r="M384"/>
      <c r="N384"/>
      <c r="O384"/>
      <c r="P384"/>
    </row>
    <row r="385" spans="1:16" s="1" customFormat="1" ht="12.75" customHeight="1" x14ac:dyDescent="0.25">
      <c r="A385" s="26"/>
      <c r="B385" s="26"/>
      <c r="C385" s="30"/>
      <c r="D385" s="35" t="s">
        <v>176</v>
      </c>
      <c r="E385" s="64">
        <v>2.5</v>
      </c>
      <c r="F385" s="45">
        <v>65</v>
      </c>
      <c r="G385" s="35">
        <v>27</v>
      </c>
      <c r="H385" s="38">
        <v>12.2</v>
      </c>
      <c r="I385" s="38" t="s">
        <v>5828</v>
      </c>
      <c r="J385" s="34">
        <f>IFERROR(_xlfn.XLOOKUP(I385,Index!$A:$A,Index!$B:$B),"")</f>
        <v>1847</v>
      </c>
      <c r="K385"/>
      <c r="L385"/>
      <c r="M385"/>
      <c r="N385"/>
      <c r="O385"/>
      <c r="P385"/>
    </row>
    <row r="386" spans="1:16" s="1" customFormat="1" ht="12.75" customHeight="1" x14ac:dyDescent="0.25">
      <c r="A386" s="26"/>
      <c r="B386" s="26"/>
      <c r="C386" s="30"/>
      <c r="D386" s="35" t="s">
        <v>176</v>
      </c>
      <c r="E386" s="36">
        <v>3</v>
      </c>
      <c r="F386" s="45">
        <v>80</v>
      </c>
      <c r="G386" s="35">
        <v>30</v>
      </c>
      <c r="H386" s="38">
        <v>13.6</v>
      </c>
      <c r="I386" s="38" t="s">
        <v>5829</v>
      </c>
      <c r="J386" s="34">
        <f>IFERROR(_xlfn.XLOOKUP(I386,Index!$A:$A,Index!$B:$B),"")</f>
        <v>2398</v>
      </c>
      <c r="K386"/>
      <c r="L386"/>
      <c r="M386"/>
      <c r="N386"/>
      <c r="O386"/>
      <c r="P386"/>
    </row>
    <row r="387" spans="1:16" s="1" customFormat="1" ht="12.75" customHeight="1" x14ac:dyDescent="0.25">
      <c r="A387" s="26"/>
      <c r="B387" s="26"/>
      <c r="C387" s="30"/>
      <c r="D387" s="35" t="s">
        <v>176</v>
      </c>
      <c r="E387" s="36">
        <v>4</v>
      </c>
      <c r="F387" s="45">
        <v>100</v>
      </c>
      <c r="G387" s="35">
        <v>51</v>
      </c>
      <c r="H387" s="38">
        <v>23</v>
      </c>
      <c r="I387" s="38" t="s">
        <v>5830</v>
      </c>
      <c r="J387" s="34">
        <f>IFERROR(_xlfn.XLOOKUP(I387,Index!$A:$A,Index!$B:$B),"")</f>
        <v>3816</v>
      </c>
      <c r="K387"/>
      <c r="L387"/>
      <c r="M387"/>
      <c r="N387"/>
      <c r="O387"/>
      <c r="P387"/>
    </row>
    <row r="388" spans="1:16" s="1" customFormat="1" ht="12.75" customHeight="1" x14ac:dyDescent="0.25">
      <c r="A388" s="26"/>
      <c r="B388" s="26"/>
      <c r="C388" s="30"/>
      <c r="D388" s="35" t="s">
        <v>241</v>
      </c>
      <c r="E388" s="36">
        <v>5</v>
      </c>
      <c r="F388" s="45">
        <v>125</v>
      </c>
      <c r="G388" s="35">
        <v>81</v>
      </c>
      <c r="H388" s="38">
        <v>36.700000000000003</v>
      </c>
      <c r="I388" s="38" t="s">
        <v>5826</v>
      </c>
      <c r="J388" s="34">
        <f>IFERROR(_xlfn.XLOOKUP(I388,Index!$A:$A,Index!$B:$B),"")</f>
        <v>6242</v>
      </c>
      <c r="K388"/>
      <c r="L388"/>
      <c r="M388"/>
      <c r="N388"/>
      <c r="O388"/>
      <c r="P388"/>
    </row>
    <row r="389" spans="1:16" s="1" customFormat="1" ht="12.75" customHeight="1" x14ac:dyDescent="0.25">
      <c r="A389" s="26"/>
      <c r="B389" s="26"/>
      <c r="C389" s="30"/>
      <c r="D389" s="35" t="s">
        <v>241</v>
      </c>
      <c r="E389" s="36">
        <v>6</v>
      </c>
      <c r="F389" s="45">
        <v>150</v>
      </c>
      <c r="G389" s="35">
        <v>109</v>
      </c>
      <c r="H389" s="38">
        <v>49.4</v>
      </c>
      <c r="I389" s="38" t="s">
        <v>5831</v>
      </c>
      <c r="J389" s="34">
        <f>IFERROR(_xlfn.XLOOKUP(I389,Index!$A:$A,Index!$B:$B),"")</f>
        <v>7326</v>
      </c>
      <c r="K389"/>
      <c r="L389"/>
      <c r="M389"/>
      <c r="N389"/>
      <c r="O389"/>
      <c r="P389"/>
    </row>
    <row r="390" spans="1:16" s="1" customFormat="1" ht="12.75" customHeight="1" x14ac:dyDescent="0.25">
      <c r="A390" s="26"/>
      <c r="B390" s="26"/>
      <c r="C390" s="30"/>
      <c r="D390" s="35" t="s">
        <v>241</v>
      </c>
      <c r="E390" s="36">
        <v>8</v>
      </c>
      <c r="F390" s="45">
        <v>200</v>
      </c>
      <c r="G390" s="35">
        <v>190</v>
      </c>
      <c r="H390" s="38">
        <v>86.2</v>
      </c>
      <c r="I390" s="38" t="s">
        <v>5832</v>
      </c>
      <c r="J390" s="34">
        <f>IFERROR(_xlfn.XLOOKUP(I390,Index!$A:$A,Index!$B:$B),"")</f>
        <v>10503</v>
      </c>
      <c r="K390"/>
      <c r="L390"/>
      <c r="M390"/>
      <c r="N390"/>
      <c r="O390"/>
      <c r="P390"/>
    </row>
    <row r="391" spans="1:16" s="1" customFormat="1" ht="12.75" customHeight="1" x14ac:dyDescent="0.25">
      <c r="A391" s="26"/>
      <c r="B391" s="26"/>
      <c r="C391" s="30"/>
      <c r="D391" s="35" t="s">
        <v>241</v>
      </c>
      <c r="E391" s="36">
        <v>10</v>
      </c>
      <c r="F391" s="45">
        <v>250</v>
      </c>
      <c r="G391" s="35">
        <v>266</v>
      </c>
      <c r="H391" s="38">
        <v>120.7</v>
      </c>
      <c r="I391" s="38" t="s">
        <v>5834</v>
      </c>
      <c r="J391" s="34">
        <f>IFERROR(_xlfn.XLOOKUP(I391,Index!$A:$A,Index!$B:$B),"")</f>
        <v>15249</v>
      </c>
      <c r="K391"/>
      <c r="L391"/>
      <c r="M391"/>
      <c r="N391"/>
      <c r="O391"/>
      <c r="P391"/>
    </row>
    <row r="392" spans="1:16" s="1" customFormat="1" ht="12.75" customHeight="1" x14ac:dyDescent="0.25">
      <c r="A392" s="27"/>
      <c r="B392" s="27"/>
      <c r="C392" s="31"/>
      <c r="D392" s="35" t="s">
        <v>241</v>
      </c>
      <c r="E392" s="36">
        <v>12</v>
      </c>
      <c r="F392" s="45">
        <v>300</v>
      </c>
      <c r="G392" s="35">
        <v>422</v>
      </c>
      <c r="H392" s="38">
        <v>191.4</v>
      </c>
      <c r="I392" s="38" t="s">
        <v>5833</v>
      </c>
      <c r="J392" s="34">
        <f>IFERROR(_xlfn.XLOOKUP(I392,Index!$A:$A,Index!$B:$B),"")</f>
        <v>22437</v>
      </c>
      <c r="K392"/>
      <c r="L392"/>
      <c r="M392"/>
      <c r="N392"/>
      <c r="O392"/>
      <c r="P392"/>
    </row>
    <row r="393" spans="1:16" s="1" customFormat="1" ht="12.7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6" s="1" customFormat="1" ht="15.75" x14ac:dyDescent="0.25">
      <c r="A394" s="62" t="s">
        <v>28</v>
      </c>
      <c r="B394" s="62" t="s">
        <v>647</v>
      </c>
      <c r="C394" s="14"/>
      <c r="D394" s="3"/>
      <c r="E394" s="8"/>
      <c r="F394" s="9"/>
      <c r="G394" s="10"/>
      <c r="H394" s="19"/>
      <c r="I394" s="19"/>
      <c r="J394" s="20"/>
      <c r="K394"/>
      <c r="L394"/>
      <c r="M394"/>
    </row>
    <row r="395" spans="1:16" s="1" customFormat="1" ht="15.75" x14ac:dyDescent="0.25">
      <c r="A395" s="48" t="s">
        <v>1199</v>
      </c>
      <c r="B395" s="11"/>
      <c r="C395" s="4"/>
      <c r="D395" s="4"/>
      <c r="E395" s="5"/>
      <c r="F395" s="9"/>
      <c r="G395" s="4"/>
      <c r="H395" s="19"/>
      <c r="I395" s="19"/>
      <c r="J395" s="20"/>
      <c r="K395"/>
      <c r="L395"/>
      <c r="M395"/>
    </row>
    <row r="396" spans="1:16" s="1" customFormat="1" ht="12.75" customHeight="1" x14ac:dyDescent="0.2">
      <c r="A396" s="25" t="s">
        <v>35</v>
      </c>
      <c r="B396" s="28" t="s">
        <v>36</v>
      </c>
      <c r="C396" s="29" t="s">
        <v>37</v>
      </c>
      <c r="D396" s="22"/>
      <c r="E396" s="22" t="s">
        <v>38</v>
      </c>
      <c r="F396" s="22"/>
      <c r="G396" s="23" t="s">
        <v>39</v>
      </c>
      <c r="H396" s="23"/>
      <c r="I396" s="42" t="s">
        <v>40</v>
      </c>
      <c r="J396" s="24" t="s">
        <v>41</v>
      </c>
    </row>
    <row r="397" spans="1:16" s="1" customFormat="1" ht="12.75" customHeight="1" x14ac:dyDescent="0.2">
      <c r="A397" s="32"/>
      <c r="B397" s="32"/>
      <c r="C397" s="33" t="s">
        <v>42</v>
      </c>
      <c r="D397" s="33" t="s">
        <v>43</v>
      </c>
      <c r="E397" s="33" t="s">
        <v>44</v>
      </c>
      <c r="F397" s="33" t="s">
        <v>45</v>
      </c>
      <c r="G397" s="33" t="s">
        <v>46</v>
      </c>
      <c r="H397" s="39" t="s">
        <v>47</v>
      </c>
      <c r="I397" s="33"/>
      <c r="J397" s="41"/>
    </row>
    <row r="398" spans="1:16" s="1" customFormat="1" ht="12.75" customHeight="1" x14ac:dyDescent="0.2">
      <c r="A398" s="26" t="s">
        <v>1142</v>
      </c>
      <c r="B398" s="26" t="s">
        <v>1200</v>
      </c>
      <c r="C398" s="30" t="s">
        <v>50</v>
      </c>
      <c r="D398" s="35" t="s">
        <v>176</v>
      </c>
      <c r="E398" s="82" t="s">
        <v>1143</v>
      </c>
      <c r="F398" s="37">
        <v>15</v>
      </c>
      <c r="G398" s="35">
        <v>3</v>
      </c>
      <c r="H398" s="40">
        <v>1.4</v>
      </c>
      <c r="I398" s="38" t="s">
        <v>1201</v>
      </c>
      <c r="J398" s="34">
        <f>IFERROR(_xlfn.XLOOKUP(I398,Index!$A:$A,Index!$B:$B),"")</f>
        <v>1587</v>
      </c>
    </row>
    <row r="399" spans="1:16" s="1" customFormat="1" ht="12.75" customHeight="1" x14ac:dyDescent="0.2">
      <c r="A399" s="26"/>
      <c r="B399" s="26"/>
      <c r="C399" s="30"/>
      <c r="D399" s="35" t="s">
        <v>53</v>
      </c>
      <c r="E399" s="82" t="s">
        <v>1143</v>
      </c>
      <c r="F399" s="37">
        <v>15</v>
      </c>
      <c r="G399" s="35">
        <v>3</v>
      </c>
      <c r="H399" s="40">
        <v>1.4</v>
      </c>
      <c r="I399" s="38" t="s">
        <v>5614</v>
      </c>
      <c r="J399" s="34">
        <f>IFERROR(_xlfn.XLOOKUP(I399,Index!$A:$A,Index!$B:$B),"")</f>
        <v>1666</v>
      </c>
    </row>
    <row r="400" spans="1:16" s="1" customFormat="1" ht="12.75" customHeight="1" x14ac:dyDescent="0.2">
      <c r="A400" s="26"/>
      <c r="B400" s="26"/>
      <c r="C400" s="30"/>
      <c r="D400" s="35" t="s">
        <v>55</v>
      </c>
      <c r="E400" s="82" t="s">
        <v>1143</v>
      </c>
      <c r="F400" s="37">
        <v>15</v>
      </c>
      <c r="G400" s="35">
        <v>3</v>
      </c>
      <c r="H400" s="40">
        <v>1.4</v>
      </c>
      <c r="I400" s="38" t="s">
        <v>5615</v>
      </c>
      <c r="J400" s="34">
        <f>IFERROR(_xlfn.XLOOKUP(I400,Index!$A:$A,Index!$B:$B),"")</f>
        <v>1666</v>
      </c>
    </row>
    <row r="401" spans="1:10" s="1" customFormat="1" ht="12.75" customHeight="1" x14ac:dyDescent="0.2">
      <c r="A401" s="26"/>
      <c r="B401" s="26"/>
      <c r="C401" s="30"/>
      <c r="D401" s="35" t="s">
        <v>176</v>
      </c>
      <c r="E401" s="82" t="s">
        <v>217</v>
      </c>
      <c r="F401" s="37">
        <v>20</v>
      </c>
      <c r="G401" s="35">
        <v>9</v>
      </c>
      <c r="H401" s="40">
        <v>4.0999999999999996</v>
      </c>
      <c r="I401" s="38" t="s">
        <v>1202</v>
      </c>
      <c r="J401" s="34">
        <f>IFERROR(_xlfn.XLOOKUP(I401,Index!$A:$A,Index!$B:$B),"")</f>
        <v>1790</v>
      </c>
    </row>
    <row r="402" spans="1:10" s="1" customFormat="1" ht="12.75" customHeight="1" x14ac:dyDescent="0.2">
      <c r="A402" s="26"/>
      <c r="B402" s="26"/>
      <c r="C402" s="30"/>
      <c r="D402" s="35" t="s">
        <v>53</v>
      </c>
      <c r="E402" s="82" t="s">
        <v>217</v>
      </c>
      <c r="F402" s="37">
        <v>20</v>
      </c>
      <c r="G402" s="35">
        <v>9</v>
      </c>
      <c r="H402" s="40">
        <v>4.0999999999999996</v>
      </c>
      <c r="I402" s="38" t="s">
        <v>1203</v>
      </c>
      <c r="J402" s="34">
        <f>IFERROR(_xlfn.XLOOKUP(I402,Index!$A:$A,Index!$B:$B),"")</f>
        <v>1878</v>
      </c>
    </row>
    <row r="403" spans="1:10" s="1" customFormat="1" ht="12.75" customHeight="1" x14ac:dyDescent="0.2">
      <c r="A403" s="26"/>
      <c r="B403" s="26"/>
      <c r="C403" s="30"/>
      <c r="D403" s="35" t="s">
        <v>55</v>
      </c>
      <c r="E403" s="82" t="s">
        <v>217</v>
      </c>
      <c r="F403" s="37">
        <v>20</v>
      </c>
      <c r="G403" s="35">
        <v>9</v>
      </c>
      <c r="H403" s="40">
        <v>4.0999999999999996</v>
      </c>
      <c r="I403" s="38" t="s">
        <v>5616</v>
      </c>
      <c r="J403" s="34">
        <f>IFERROR(_xlfn.XLOOKUP(I403,Index!$A:$A,Index!$B:$B),"")</f>
        <v>1878</v>
      </c>
    </row>
    <row r="404" spans="1:10" s="1" customFormat="1" ht="12.75" customHeight="1" x14ac:dyDescent="0.2">
      <c r="A404" s="26"/>
      <c r="B404" s="26"/>
      <c r="C404" s="30"/>
      <c r="D404" s="35" t="s">
        <v>176</v>
      </c>
      <c r="E404" s="82" t="s">
        <v>1150</v>
      </c>
      <c r="F404" s="37">
        <v>25</v>
      </c>
      <c r="G404" s="35">
        <v>9</v>
      </c>
      <c r="H404" s="40">
        <v>4.0999999999999996</v>
      </c>
      <c r="I404" s="38" t="s">
        <v>1204</v>
      </c>
      <c r="J404" s="34">
        <f>IFERROR(_xlfn.XLOOKUP(I404,Index!$A:$A,Index!$B:$B),"")</f>
        <v>1815</v>
      </c>
    </row>
    <row r="405" spans="1:10" s="1" customFormat="1" ht="12.75" customHeight="1" x14ac:dyDescent="0.2">
      <c r="A405" s="26"/>
      <c r="B405" s="26"/>
      <c r="C405" s="30"/>
      <c r="D405" s="35" t="s">
        <v>53</v>
      </c>
      <c r="E405" s="82" t="s">
        <v>1150</v>
      </c>
      <c r="F405" s="37">
        <v>25</v>
      </c>
      <c r="G405" s="35">
        <v>9</v>
      </c>
      <c r="H405" s="40">
        <v>4.0999999999999996</v>
      </c>
      <c r="I405" s="38" t="s">
        <v>1205</v>
      </c>
      <c r="J405" s="34">
        <f>IFERROR(_xlfn.XLOOKUP(I405,Index!$A:$A,Index!$B:$B),"")</f>
        <v>1905</v>
      </c>
    </row>
    <row r="406" spans="1:10" s="1" customFormat="1" ht="12.75" customHeight="1" x14ac:dyDescent="0.2">
      <c r="A406" s="26"/>
      <c r="B406" s="26"/>
      <c r="C406" s="30"/>
      <c r="D406" s="35" t="s">
        <v>55</v>
      </c>
      <c r="E406" s="82" t="s">
        <v>1150</v>
      </c>
      <c r="F406" s="37">
        <v>25</v>
      </c>
      <c r="G406" s="35">
        <v>9</v>
      </c>
      <c r="H406" s="40">
        <v>4.0999999999999996</v>
      </c>
      <c r="I406" s="38" t="s">
        <v>1206</v>
      </c>
      <c r="J406" s="34">
        <f>IFERROR(_xlfn.XLOOKUP(I406,Index!$A:$A,Index!$B:$B),"")</f>
        <v>1905</v>
      </c>
    </row>
    <row r="407" spans="1:10" s="1" customFormat="1" ht="12.75" customHeight="1" x14ac:dyDescent="0.2">
      <c r="A407" s="26"/>
      <c r="B407" s="26"/>
      <c r="C407" s="30"/>
      <c r="D407" s="35" t="s">
        <v>176</v>
      </c>
      <c r="E407" s="82" t="s">
        <v>223</v>
      </c>
      <c r="F407" s="37">
        <v>32</v>
      </c>
      <c r="G407" s="35">
        <v>12</v>
      </c>
      <c r="H407" s="40">
        <v>5.4</v>
      </c>
      <c r="I407" s="38" t="s">
        <v>1207</v>
      </c>
      <c r="J407" s="34">
        <f>IFERROR(_xlfn.XLOOKUP(I407,Index!$A:$A,Index!$B:$B),"")</f>
        <v>2007</v>
      </c>
    </row>
    <row r="408" spans="1:10" s="1" customFormat="1" ht="12.75" customHeight="1" x14ac:dyDescent="0.2">
      <c r="A408" s="26"/>
      <c r="B408" s="26"/>
      <c r="C408" s="30"/>
      <c r="D408" s="35" t="s">
        <v>53</v>
      </c>
      <c r="E408" s="82" t="s">
        <v>223</v>
      </c>
      <c r="F408" s="37">
        <v>32</v>
      </c>
      <c r="G408" s="35">
        <v>12</v>
      </c>
      <c r="H408" s="40">
        <v>5.4</v>
      </c>
      <c r="I408" s="38" t="s">
        <v>5542</v>
      </c>
      <c r="J408" s="34">
        <f>J407+79</f>
        <v>2086</v>
      </c>
    </row>
    <row r="409" spans="1:10" s="1" customFormat="1" ht="12.75" customHeight="1" x14ac:dyDescent="0.2">
      <c r="A409" s="26"/>
      <c r="B409" s="26"/>
      <c r="C409" s="30"/>
      <c r="D409" s="35" t="s">
        <v>55</v>
      </c>
      <c r="E409" s="82" t="s">
        <v>223</v>
      </c>
      <c r="F409" s="37">
        <v>32</v>
      </c>
      <c r="G409" s="35">
        <v>12</v>
      </c>
      <c r="H409" s="40">
        <v>5.4</v>
      </c>
      <c r="I409" s="38" t="s">
        <v>5542</v>
      </c>
      <c r="J409" s="34">
        <f>J408</f>
        <v>2086</v>
      </c>
    </row>
    <row r="410" spans="1:10" s="1" customFormat="1" ht="12.75" customHeight="1" x14ac:dyDescent="0.2">
      <c r="A410" s="26"/>
      <c r="B410" s="26"/>
      <c r="C410" s="30"/>
      <c r="D410" s="35" t="s">
        <v>176</v>
      </c>
      <c r="E410" s="82" t="s">
        <v>225</v>
      </c>
      <c r="F410" s="37">
        <v>40</v>
      </c>
      <c r="G410" s="35">
        <v>13</v>
      </c>
      <c r="H410" s="40">
        <v>5.9</v>
      </c>
      <c r="I410" s="38" t="s">
        <v>1208</v>
      </c>
      <c r="J410" s="34">
        <f>IFERROR(_xlfn.XLOOKUP(I410,Index!$A:$A,Index!$B:$B),"")</f>
        <v>2086</v>
      </c>
    </row>
    <row r="411" spans="1:10" s="1" customFormat="1" ht="12.75" customHeight="1" x14ac:dyDescent="0.2">
      <c r="A411" s="26"/>
      <c r="B411" s="26"/>
      <c r="C411" s="30"/>
      <c r="D411" s="35" t="s">
        <v>53</v>
      </c>
      <c r="E411" s="82" t="s">
        <v>225</v>
      </c>
      <c r="F411" s="37">
        <v>40</v>
      </c>
      <c r="G411" s="35">
        <v>13</v>
      </c>
      <c r="H411" s="40">
        <v>5.9</v>
      </c>
      <c r="I411" s="38" t="s">
        <v>1209</v>
      </c>
      <c r="J411" s="34">
        <f>IFERROR(_xlfn.XLOOKUP(I411,Index!$A:$A,Index!$B:$B),"")</f>
        <v>2191</v>
      </c>
    </row>
    <row r="412" spans="1:10" s="1" customFormat="1" ht="12.75" customHeight="1" x14ac:dyDescent="0.2">
      <c r="A412" s="26"/>
      <c r="B412" s="26"/>
      <c r="C412" s="30"/>
      <c r="D412" s="35" t="s">
        <v>55</v>
      </c>
      <c r="E412" s="82" t="s">
        <v>225</v>
      </c>
      <c r="F412" s="37">
        <v>40</v>
      </c>
      <c r="G412" s="35">
        <v>13</v>
      </c>
      <c r="H412" s="40">
        <v>5.9</v>
      </c>
      <c r="I412" s="38" t="s">
        <v>1210</v>
      </c>
      <c r="J412" s="34">
        <f>IFERROR(_xlfn.XLOOKUP(I412,Index!$A:$A,Index!$B:$B),"")</f>
        <v>2191</v>
      </c>
    </row>
    <row r="413" spans="1:10" s="1" customFormat="1" ht="12.75" customHeight="1" x14ac:dyDescent="0.2">
      <c r="A413" s="26"/>
      <c r="B413" s="26"/>
      <c r="C413" s="30"/>
      <c r="D413" s="35" t="s">
        <v>176</v>
      </c>
      <c r="E413" s="82" t="s">
        <v>1159</v>
      </c>
      <c r="F413" s="37">
        <v>50</v>
      </c>
      <c r="G413" s="35">
        <v>10</v>
      </c>
      <c r="H413" s="40">
        <v>4.5</v>
      </c>
      <c r="I413" s="38" t="s">
        <v>1211</v>
      </c>
      <c r="J413" s="34">
        <f>IFERROR(_xlfn.XLOOKUP(I413,Index!$A:$A,Index!$B:$B),"")</f>
        <v>1774</v>
      </c>
    </row>
    <row r="414" spans="1:10" s="1" customFormat="1" ht="12.75" customHeight="1" x14ac:dyDescent="0.2">
      <c r="A414" s="26"/>
      <c r="B414" s="26"/>
      <c r="C414" s="30"/>
      <c r="D414" s="35" t="s">
        <v>53</v>
      </c>
      <c r="E414" s="82" t="s">
        <v>1159</v>
      </c>
      <c r="F414" s="37">
        <v>50</v>
      </c>
      <c r="G414" s="35">
        <v>10</v>
      </c>
      <c r="H414" s="40">
        <v>4.5</v>
      </c>
      <c r="I414" s="38" t="s">
        <v>5617</v>
      </c>
      <c r="J414" s="34">
        <f>IFERROR(_xlfn.XLOOKUP(I414,Index!$A:$A,Index!$B:$B),"")</f>
        <v>1861</v>
      </c>
    </row>
    <row r="415" spans="1:10" s="1" customFormat="1" ht="12.75" customHeight="1" x14ac:dyDescent="0.2">
      <c r="A415" s="26"/>
      <c r="B415" s="26"/>
      <c r="C415" s="30"/>
      <c r="D415" s="35" t="s">
        <v>55</v>
      </c>
      <c r="E415" s="82" t="s">
        <v>1159</v>
      </c>
      <c r="F415" s="37">
        <v>50</v>
      </c>
      <c r="G415" s="35">
        <v>10</v>
      </c>
      <c r="H415" s="40">
        <v>4.5</v>
      </c>
      <c r="I415" s="38" t="s">
        <v>5618</v>
      </c>
      <c r="J415" s="34">
        <f>IFERROR(_xlfn.XLOOKUP(I415,Index!$A:$A,Index!$B:$B),"")</f>
        <v>1861</v>
      </c>
    </row>
    <row r="416" spans="1:10" s="1" customFormat="1" ht="12.75" customHeight="1" x14ac:dyDescent="0.2">
      <c r="A416" s="26"/>
      <c r="B416" s="26"/>
      <c r="C416" s="30"/>
      <c r="D416" s="35" t="s">
        <v>176</v>
      </c>
      <c r="E416" s="82" t="s">
        <v>231</v>
      </c>
      <c r="F416" s="37">
        <v>65</v>
      </c>
      <c r="G416" s="35">
        <v>14</v>
      </c>
      <c r="H416" s="40">
        <v>6.4</v>
      </c>
      <c r="I416" s="38" t="s">
        <v>1212</v>
      </c>
      <c r="J416" s="34">
        <f>IFERROR(_xlfn.XLOOKUP(I416,Index!$A:$A,Index!$B:$B),"")</f>
        <v>2573</v>
      </c>
    </row>
    <row r="417" spans="1:10" s="1" customFormat="1" ht="12.75" customHeight="1" x14ac:dyDescent="0.2">
      <c r="A417" s="26"/>
      <c r="B417" s="26"/>
      <c r="C417" s="30"/>
      <c r="D417" s="35" t="s">
        <v>53</v>
      </c>
      <c r="E417" s="82" t="s">
        <v>231</v>
      </c>
      <c r="F417" s="37">
        <v>65</v>
      </c>
      <c r="G417" s="35">
        <v>14</v>
      </c>
      <c r="H417" s="40">
        <v>6.4</v>
      </c>
      <c r="I417" s="38" t="s">
        <v>5619</v>
      </c>
      <c r="J417" s="34">
        <f>J416+101</f>
        <v>2674</v>
      </c>
    </row>
    <row r="418" spans="1:10" s="1" customFormat="1" ht="12.75" customHeight="1" x14ac:dyDescent="0.2">
      <c r="A418" s="26"/>
      <c r="B418" s="26"/>
      <c r="C418" s="30"/>
      <c r="D418" s="35" t="s">
        <v>55</v>
      </c>
      <c r="E418" s="82" t="s">
        <v>231</v>
      </c>
      <c r="F418" s="37">
        <v>65</v>
      </c>
      <c r="G418" s="35">
        <v>14</v>
      </c>
      <c r="H418" s="40">
        <v>6.4</v>
      </c>
      <c r="I418" s="38" t="s">
        <v>5620</v>
      </c>
      <c r="J418" s="34">
        <f>J417</f>
        <v>2674</v>
      </c>
    </row>
    <row r="419" spans="1:10" s="1" customFormat="1" ht="12.75" customHeight="1" x14ac:dyDescent="0.2">
      <c r="A419" s="26"/>
      <c r="B419" s="26"/>
      <c r="C419" s="30"/>
      <c r="D419" s="35" t="s">
        <v>176</v>
      </c>
      <c r="E419" s="82" t="s">
        <v>1166</v>
      </c>
      <c r="F419" s="37">
        <v>80</v>
      </c>
      <c r="G419" s="35">
        <v>21</v>
      </c>
      <c r="H419" s="40">
        <v>9.5</v>
      </c>
      <c r="I419" s="38" t="s">
        <v>1213</v>
      </c>
      <c r="J419" s="34">
        <f>IFERROR(_xlfn.XLOOKUP(I419,Index!$A:$A,Index!$B:$B),"")</f>
        <v>3336</v>
      </c>
    </row>
    <row r="420" spans="1:10" s="1" customFormat="1" ht="12.75" customHeight="1" x14ac:dyDescent="0.2">
      <c r="A420" s="26"/>
      <c r="B420" s="26"/>
      <c r="C420" s="30"/>
      <c r="D420" s="35" t="s">
        <v>53</v>
      </c>
      <c r="E420" s="82" t="s">
        <v>1166</v>
      </c>
      <c r="F420" s="37">
        <v>80</v>
      </c>
      <c r="G420" s="35">
        <v>21</v>
      </c>
      <c r="H420" s="40">
        <v>9.5</v>
      </c>
      <c r="I420" s="38" t="s">
        <v>3037</v>
      </c>
      <c r="J420" s="34">
        <f>IFERROR(_xlfn.XLOOKUP(I420,Index!$A:$A,Index!$B:$B),"")</f>
        <v>3504</v>
      </c>
    </row>
    <row r="421" spans="1:10" s="1" customFormat="1" ht="12.75" customHeight="1" x14ac:dyDescent="0.2">
      <c r="A421" s="26"/>
      <c r="B421" s="26"/>
      <c r="C421" s="30"/>
      <c r="D421" s="35" t="s">
        <v>55</v>
      </c>
      <c r="E421" s="82" t="s">
        <v>1166</v>
      </c>
      <c r="F421" s="37">
        <v>80</v>
      </c>
      <c r="G421" s="35">
        <v>21</v>
      </c>
      <c r="H421" s="40">
        <v>9.5</v>
      </c>
      <c r="I421" s="38" t="s">
        <v>1214</v>
      </c>
      <c r="J421" s="34">
        <f>IFERROR(_xlfn.XLOOKUP(I421,Index!$A:$A,Index!$B:$B),"")</f>
        <v>3504</v>
      </c>
    </row>
    <row r="422" spans="1:10" s="1" customFormat="1" ht="12.75" customHeight="1" x14ac:dyDescent="0.2">
      <c r="A422" s="26"/>
      <c r="B422" s="26"/>
      <c r="C422" s="30"/>
      <c r="D422" s="35" t="s">
        <v>176</v>
      </c>
      <c r="E422" s="82" t="s">
        <v>1170</v>
      </c>
      <c r="F422" s="37">
        <v>100</v>
      </c>
      <c r="G422" s="35">
        <v>42</v>
      </c>
      <c r="H422" s="40">
        <v>19</v>
      </c>
      <c r="I422" s="38" t="s">
        <v>1215</v>
      </c>
      <c r="J422" s="34">
        <f>IFERROR(_xlfn.XLOOKUP(I422,Index!$A:$A,Index!$B:$B),"")</f>
        <v>5313</v>
      </c>
    </row>
    <row r="423" spans="1:10" s="1" customFormat="1" ht="12.75" customHeight="1" x14ac:dyDescent="0.2">
      <c r="A423" s="26"/>
      <c r="B423" s="26"/>
      <c r="C423" s="30"/>
      <c r="D423" s="35" t="s">
        <v>53</v>
      </c>
      <c r="E423" s="82" t="s">
        <v>1170</v>
      </c>
      <c r="F423" s="37">
        <v>100</v>
      </c>
      <c r="G423" s="35">
        <v>42</v>
      </c>
      <c r="H423" s="40">
        <v>19</v>
      </c>
      <c r="I423" s="38" t="s">
        <v>5621</v>
      </c>
      <c r="J423" s="34">
        <f>IFERROR(_xlfn.XLOOKUP(I423,Index!$A:$A,Index!$B:$B),"")</f>
        <v>5579</v>
      </c>
    </row>
    <row r="424" spans="1:10" s="1" customFormat="1" ht="12.75" customHeight="1" x14ac:dyDescent="0.2">
      <c r="A424" s="26"/>
      <c r="B424" s="26"/>
      <c r="C424" s="30"/>
      <c r="D424" s="35" t="s">
        <v>55</v>
      </c>
      <c r="E424" s="82" t="s">
        <v>1170</v>
      </c>
      <c r="F424" s="37">
        <v>100</v>
      </c>
      <c r="G424" s="35">
        <v>42</v>
      </c>
      <c r="H424" s="40">
        <v>19</v>
      </c>
      <c r="I424" s="38" t="s">
        <v>1216</v>
      </c>
      <c r="J424" s="34">
        <f>IFERROR(_xlfn.XLOOKUP(I424,Index!$A:$A,Index!$B:$B),"")</f>
        <v>5579</v>
      </c>
    </row>
    <row r="425" spans="1:10" s="1" customFormat="1" ht="12.75" customHeight="1" x14ac:dyDescent="0.2">
      <c r="A425" s="26"/>
      <c r="B425" s="26"/>
      <c r="C425" s="30"/>
      <c r="D425" s="35" t="s">
        <v>241</v>
      </c>
      <c r="E425" s="82" t="s">
        <v>1174</v>
      </c>
      <c r="F425" s="37">
        <v>125</v>
      </c>
      <c r="G425" s="35">
        <v>60</v>
      </c>
      <c r="H425" s="40">
        <v>27</v>
      </c>
      <c r="I425" s="38" t="s">
        <v>5542</v>
      </c>
      <c r="J425" s="34">
        <f>J424+2444</f>
        <v>8023</v>
      </c>
    </row>
    <row r="426" spans="1:10" s="1" customFormat="1" ht="12.75" customHeight="1" x14ac:dyDescent="0.2">
      <c r="A426" s="26"/>
      <c r="B426" s="26"/>
      <c r="C426" s="30"/>
      <c r="D426" s="35" t="s">
        <v>53</v>
      </c>
      <c r="E426" s="82" t="s">
        <v>1174</v>
      </c>
      <c r="F426" s="37">
        <v>125</v>
      </c>
      <c r="G426" s="35">
        <v>60</v>
      </c>
      <c r="H426" s="40">
        <v>27</v>
      </c>
      <c r="I426" s="38" t="s">
        <v>5542</v>
      </c>
      <c r="J426" s="34">
        <f>J425+341</f>
        <v>8364</v>
      </c>
    </row>
    <row r="427" spans="1:10" s="1" customFormat="1" ht="12.75" customHeight="1" x14ac:dyDescent="0.2">
      <c r="A427" s="27"/>
      <c r="B427" s="27"/>
      <c r="C427" s="31"/>
      <c r="D427" s="35" t="s">
        <v>55</v>
      </c>
      <c r="E427" s="82" t="s">
        <v>1174</v>
      </c>
      <c r="F427" s="37">
        <v>125</v>
      </c>
      <c r="G427" s="35">
        <v>60</v>
      </c>
      <c r="H427" s="40">
        <v>27</v>
      </c>
      <c r="I427" s="38" t="s">
        <v>5542</v>
      </c>
      <c r="J427" s="34">
        <f>J426</f>
        <v>8364</v>
      </c>
    </row>
    <row r="428" spans="1:10" s="1" customFormat="1" ht="12.75" customHeight="1" x14ac:dyDescent="0.25">
      <c r="A428"/>
      <c r="B428"/>
      <c r="C428"/>
      <c r="D428"/>
      <c r="E428"/>
      <c r="F428"/>
      <c r="G428"/>
      <c r="H428"/>
      <c r="I428"/>
      <c r="J428"/>
    </row>
    <row r="429" spans="1:10" s="264" customFormat="1" ht="15.75" x14ac:dyDescent="0.25">
      <c r="A429" s="217" t="s">
        <v>5836</v>
      </c>
      <c r="B429" s="270"/>
      <c r="C429" s="47"/>
      <c r="D429" s="258"/>
      <c r="E429" s="259"/>
      <c r="F429" s="260"/>
      <c r="G429" s="269"/>
      <c r="H429" s="269"/>
      <c r="I429" s="269"/>
      <c r="J429" s="269"/>
    </row>
    <row r="430" spans="1:10" s="264" customFormat="1" ht="15.75" x14ac:dyDescent="0.25">
      <c r="A430" s="48" t="s">
        <v>102</v>
      </c>
      <c r="B430" s="217"/>
      <c r="C430" s="265"/>
      <c r="D430" s="265"/>
      <c r="E430" s="266"/>
      <c r="F430" s="260"/>
      <c r="G430" s="269"/>
      <c r="H430" s="269"/>
      <c r="I430" s="269"/>
      <c r="J430" s="269"/>
    </row>
    <row r="431" spans="1:10" s="1" customFormat="1" ht="12.75" customHeight="1" x14ac:dyDescent="0.2">
      <c r="A431" s="25" t="s">
        <v>35</v>
      </c>
      <c r="B431" s="28" t="s">
        <v>103</v>
      </c>
      <c r="C431" s="335" t="s">
        <v>38</v>
      </c>
      <c r="D431" s="336"/>
      <c r="E431" s="42" t="s">
        <v>40</v>
      </c>
      <c r="F431" s="43" t="s">
        <v>41</v>
      </c>
    </row>
    <row r="432" spans="1:10" s="1" customFormat="1" ht="12.75" customHeight="1" x14ac:dyDescent="0.2">
      <c r="A432" s="32"/>
      <c r="B432" s="32"/>
      <c r="C432" s="33" t="s">
        <v>44</v>
      </c>
      <c r="D432" s="33" t="s">
        <v>45</v>
      </c>
      <c r="E432" s="33"/>
      <c r="F432" s="44"/>
    </row>
    <row r="433" spans="1:6" s="1" customFormat="1" ht="12.75" customHeight="1" x14ac:dyDescent="0.2">
      <c r="A433" s="60" t="s">
        <v>5835</v>
      </c>
      <c r="B433" s="60" t="s">
        <v>104</v>
      </c>
      <c r="C433" s="82" t="s">
        <v>1143</v>
      </c>
      <c r="D433" s="37">
        <v>15</v>
      </c>
      <c r="E433" s="35" t="s">
        <v>1217</v>
      </c>
      <c r="F433" s="34">
        <f>IFERROR(_xlfn.XLOOKUP(E433,Index!$A:$A,Index!$B:$B),"")</f>
        <v>8</v>
      </c>
    </row>
    <row r="434" spans="1:6" s="1" customFormat="1" ht="12.75" customHeight="1" x14ac:dyDescent="0.2">
      <c r="A434" s="26"/>
      <c r="B434" s="26"/>
      <c r="C434" s="82" t="s">
        <v>217</v>
      </c>
      <c r="D434" s="37">
        <v>20</v>
      </c>
      <c r="E434" s="35" t="s">
        <v>1218</v>
      </c>
      <c r="F434" s="34">
        <f>IFERROR(_xlfn.XLOOKUP(E434,Index!$A:$A,Index!$B:$B),"")</f>
        <v>10.75</v>
      </c>
    </row>
    <row r="435" spans="1:6" s="1" customFormat="1" ht="12.75" customHeight="1" x14ac:dyDescent="0.2">
      <c r="A435" s="26"/>
      <c r="B435" s="26"/>
      <c r="C435" s="82" t="s">
        <v>1150</v>
      </c>
      <c r="D435" s="37">
        <v>25</v>
      </c>
      <c r="E435" s="35" t="s">
        <v>1218</v>
      </c>
      <c r="F435" s="34">
        <f>IFERROR(_xlfn.XLOOKUP(E435,Index!$A:$A,Index!$B:$B),"")</f>
        <v>10.75</v>
      </c>
    </row>
    <row r="436" spans="1:6" s="1" customFormat="1" ht="12.75" customHeight="1" x14ac:dyDescent="0.2">
      <c r="A436" s="26"/>
      <c r="B436" s="26"/>
      <c r="C436" s="82" t="s">
        <v>223</v>
      </c>
      <c r="D436" s="37">
        <v>32</v>
      </c>
      <c r="E436" s="35" t="s">
        <v>1218</v>
      </c>
      <c r="F436" s="34">
        <f>IFERROR(_xlfn.XLOOKUP(E436,Index!$A:$A,Index!$B:$B),"")</f>
        <v>10.75</v>
      </c>
    </row>
    <row r="437" spans="1:6" s="1" customFormat="1" ht="12" x14ac:dyDescent="0.2">
      <c r="A437" s="26"/>
      <c r="B437" s="26"/>
      <c r="C437" s="82" t="s">
        <v>225</v>
      </c>
      <c r="D437" s="37">
        <v>40</v>
      </c>
      <c r="E437" s="35" t="s">
        <v>1218</v>
      </c>
      <c r="F437" s="34">
        <f>IFERROR(_xlfn.XLOOKUP(E437,Index!$A:$A,Index!$B:$B),"")</f>
        <v>10.75</v>
      </c>
    </row>
    <row r="438" spans="1:6" s="1" customFormat="1" ht="12" x14ac:dyDescent="0.2">
      <c r="A438" s="26"/>
      <c r="B438" s="26"/>
      <c r="C438" s="82" t="s">
        <v>1159</v>
      </c>
      <c r="D438" s="37">
        <v>50</v>
      </c>
      <c r="E438" s="35" t="s">
        <v>1008</v>
      </c>
      <c r="F438" s="34">
        <f>IFERROR(_xlfn.XLOOKUP(E438,Index!$A:$A,Index!$B:$B),"")</f>
        <v>9.75</v>
      </c>
    </row>
    <row r="439" spans="1:6" s="1" customFormat="1" ht="12.75" customHeight="1" x14ac:dyDescent="0.2">
      <c r="A439" s="26"/>
      <c r="B439" s="26"/>
      <c r="C439" s="82" t="s">
        <v>231</v>
      </c>
      <c r="D439" s="37">
        <v>65</v>
      </c>
      <c r="E439" s="35" t="s">
        <v>1009</v>
      </c>
      <c r="F439" s="34">
        <f>IFERROR(_xlfn.XLOOKUP(E439,Index!$A:$A,Index!$B:$B),"")</f>
        <v>12.25</v>
      </c>
    </row>
    <row r="440" spans="1:6" s="1" customFormat="1" ht="12.75" customHeight="1" x14ac:dyDescent="0.2">
      <c r="A440" s="26"/>
      <c r="B440" s="26"/>
      <c r="C440" s="82" t="s">
        <v>1166</v>
      </c>
      <c r="D440" s="37">
        <v>80</v>
      </c>
      <c r="E440" s="35" t="s">
        <v>209</v>
      </c>
      <c r="F440" s="34">
        <f>IFERROR(_xlfn.XLOOKUP(E440,Index!$A:$A,Index!$B:$B),"")</f>
        <v>12.25</v>
      </c>
    </row>
    <row r="441" spans="1:6" s="1" customFormat="1" ht="12.75" customHeight="1" x14ac:dyDescent="0.2">
      <c r="A441" s="26"/>
      <c r="B441" s="26"/>
      <c r="C441" s="82" t="s">
        <v>1170</v>
      </c>
      <c r="D441" s="37">
        <v>100</v>
      </c>
      <c r="E441" s="35" t="s">
        <v>1010</v>
      </c>
      <c r="F441" s="34">
        <f>IFERROR(_xlfn.XLOOKUP(E441,Index!$A:$A,Index!$B:$B),"")</f>
        <v>12.25</v>
      </c>
    </row>
    <row r="442" spans="1:6" s="1" customFormat="1" ht="12.75" customHeight="1" x14ac:dyDescent="0.2">
      <c r="A442" s="26"/>
      <c r="B442" s="26"/>
      <c r="C442" s="82" t="s">
        <v>1174</v>
      </c>
      <c r="D442" s="37">
        <v>125</v>
      </c>
      <c r="E442" s="35" t="s">
        <v>1219</v>
      </c>
      <c r="F442" s="34">
        <f>IFERROR(_xlfn.XLOOKUP(E442,Index!$A:$A,Index!$B:$B),"")</f>
        <v>16.5</v>
      </c>
    </row>
    <row r="443" spans="1:6" s="1" customFormat="1" ht="12.75" customHeight="1" x14ac:dyDescent="0.2">
      <c r="A443" s="26"/>
      <c r="B443" s="26"/>
      <c r="C443" s="82" t="s">
        <v>1178</v>
      </c>
      <c r="D443" s="37">
        <v>150</v>
      </c>
      <c r="E443" s="35" t="s">
        <v>1220</v>
      </c>
      <c r="F443" s="34">
        <f>IFERROR(_xlfn.XLOOKUP(E443,Index!$A:$A,Index!$B:$B),"")</f>
        <v>16.5</v>
      </c>
    </row>
    <row r="444" spans="1:6" s="1" customFormat="1" ht="12.75" customHeight="1" x14ac:dyDescent="0.2">
      <c r="A444" s="26"/>
      <c r="B444" s="26"/>
      <c r="C444" s="82" t="s">
        <v>1182</v>
      </c>
      <c r="D444" s="37">
        <v>200</v>
      </c>
      <c r="E444" s="35" t="s">
        <v>1012</v>
      </c>
      <c r="F444" s="34">
        <f>IFERROR(_xlfn.XLOOKUP(E444,Index!$A:$A,Index!$B:$B),"")</f>
        <v>132</v>
      </c>
    </row>
    <row r="445" spans="1:6" s="1" customFormat="1" ht="12.75" customHeight="1" x14ac:dyDescent="0.2">
      <c r="A445" s="26"/>
      <c r="B445" s="26"/>
      <c r="C445" s="82" t="s">
        <v>1186</v>
      </c>
      <c r="D445" s="37">
        <v>250</v>
      </c>
      <c r="E445" s="35" t="s">
        <v>1013</v>
      </c>
      <c r="F445" s="34">
        <f>IFERROR(_xlfn.XLOOKUP(E445,Index!$A:$A,Index!$B:$B),"")</f>
        <v>24</v>
      </c>
    </row>
    <row r="446" spans="1:6" s="1" customFormat="1" ht="12.75" customHeight="1" x14ac:dyDescent="0.2">
      <c r="A446" s="26"/>
      <c r="B446" s="26"/>
      <c r="C446" s="82" t="s">
        <v>1190</v>
      </c>
      <c r="D446" s="37">
        <v>300</v>
      </c>
      <c r="E446" s="35" t="s">
        <v>1014</v>
      </c>
      <c r="F446" s="34">
        <f>IFERROR(_xlfn.XLOOKUP(E446,Index!$A:$A,Index!$B:$B),"")</f>
        <v>24</v>
      </c>
    </row>
    <row r="447" spans="1:6" s="1" customFormat="1" ht="12.75" customHeight="1" x14ac:dyDescent="0.2">
      <c r="A447" s="26"/>
      <c r="B447" s="26"/>
      <c r="C447" s="82" t="s">
        <v>1192</v>
      </c>
      <c r="D447" s="37">
        <v>350</v>
      </c>
      <c r="E447" s="35" t="s">
        <v>1015</v>
      </c>
      <c r="F447" s="34">
        <f>IFERROR(_xlfn.XLOOKUP(E447,Index!$A:$A,Index!$B:$B),"")</f>
        <v>48.75</v>
      </c>
    </row>
    <row r="448" spans="1:6" s="1" customFormat="1" ht="12.75" customHeight="1" x14ac:dyDescent="0.2">
      <c r="A448" s="26"/>
      <c r="B448" s="26"/>
      <c r="C448" s="82" t="s">
        <v>1194</v>
      </c>
      <c r="D448" s="37">
        <v>400</v>
      </c>
      <c r="E448" s="35" t="s">
        <v>1016</v>
      </c>
      <c r="F448" s="34">
        <f>IFERROR(_xlfn.XLOOKUP(E448,Index!$A:$A,Index!$B:$B),"")</f>
        <v>48.75</v>
      </c>
    </row>
    <row r="449" spans="1:6" s="1" customFormat="1" ht="12.75" customHeight="1" x14ac:dyDescent="0.2">
      <c r="A449" s="26"/>
      <c r="B449" s="26"/>
      <c r="C449" s="82" t="s">
        <v>1196</v>
      </c>
      <c r="D449" s="37">
        <v>450</v>
      </c>
      <c r="E449" s="35" t="s">
        <v>1017</v>
      </c>
      <c r="F449" s="34">
        <f>IFERROR(_xlfn.XLOOKUP(E449,Index!$A:$A,Index!$B:$B),"")</f>
        <v>95</v>
      </c>
    </row>
    <row r="450" spans="1:6" s="1" customFormat="1" ht="12.75" customHeight="1" x14ac:dyDescent="0.2">
      <c r="A450" s="26"/>
      <c r="B450" s="26"/>
      <c r="C450" s="82" t="s">
        <v>1197</v>
      </c>
      <c r="D450" s="37">
        <v>500</v>
      </c>
      <c r="E450" s="38" t="s">
        <v>5542</v>
      </c>
      <c r="F450" s="250">
        <f>F449+3</f>
        <v>98</v>
      </c>
    </row>
    <row r="451" spans="1:6" s="1" customFormat="1" ht="12.75" customHeight="1" x14ac:dyDescent="0.2">
      <c r="A451" s="26"/>
      <c r="B451" s="26"/>
      <c r="C451" s="82" t="s">
        <v>1198</v>
      </c>
      <c r="D451" s="37">
        <v>550</v>
      </c>
      <c r="E451" s="38" t="s">
        <v>5542</v>
      </c>
      <c r="F451" s="250">
        <f>F450</f>
        <v>98</v>
      </c>
    </row>
    <row r="452" spans="1:6" s="1" customFormat="1" ht="12" x14ac:dyDescent="0.2">
      <c r="A452" s="66"/>
      <c r="B452" s="60" t="s">
        <v>210</v>
      </c>
      <c r="C452" s="97" t="s">
        <v>1143</v>
      </c>
      <c r="D452" s="37">
        <v>15</v>
      </c>
      <c r="E452" s="35" t="s">
        <v>927</v>
      </c>
      <c r="F452" s="34">
        <f>IFERROR(_xlfn.XLOOKUP(E452,Index!$A:$A,Index!$B:$B),"")</f>
        <v>63.5</v>
      </c>
    </row>
    <row r="453" spans="1:6" s="1" customFormat="1" ht="12" x14ac:dyDescent="0.2">
      <c r="A453" s="26"/>
      <c r="B453" s="26"/>
      <c r="C453" s="82" t="s">
        <v>217</v>
      </c>
      <c r="D453" s="37">
        <v>20</v>
      </c>
      <c r="E453" s="35" t="s">
        <v>928</v>
      </c>
      <c r="F453" s="34">
        <f>IFERROR(_xlfn.XLOOKUP(E453,Index!$A:$A,Index!$B:$B),"")</f>
        <v>63.5</v>
      </c>
    </row>
    <row r="454" spans="1:6" s="1" customFormat="1" ht="12" x14ac:dyDescent="0.2">
      <c r="A454" s="26"/>
      <c r="B454" s="26"/>
      <c r="C454" s="82" t="s">
        <v>1150</v>
      </c>
      <c r="D454" s="37">
        <v>25</v>
      </c>
      <c r="E454" s="35" t="s">
        <v>929</v>
      </c>
      <c r="F454" s="34">
        <f>IFERROR(_xlfn.XLOOKUP(E454,Index!$A:$A,Index!$B:$B),"")</f>
        <v>73.5</v>
      </c>
    </row>
    <row r="455" spans="1:6" s="1" customFormat="1" ht="12" x14ac:dyDescent="0.2">
      <c r="A455" s="26"/>
      <c r="B455" s="26"/>
      <c r="C455" s="82" t="s">
        <v>223</v>
      </c>
      <c r="D455" s="37">
        <v>32</v>
      </c>
      <c r="E455" s="35" t="s">
        <v>930</v>
      </c>
      <c r="F455" s="34">
        <f>IFERROR(_xlfn.XLOOKUP(E455,Index!$A:$A,Index!$B:$B),"")</f>
        <v>80.5</v>
      </c>
    </row>
    <row r="456" spans="1:6" s="1" customFormat="1" ht="12" x14ac:dyDescent="0.2">
      <c r="A456" s="26"/>
      <c r="B456" s="26"/>
      <c r="C456" s="82" t="s">
        <v>225</v>
      </c>
      <c r="D456" s="37">
        <v>40</v>
      </c>
      <c r="E456" s="35" t="s">
        <v>930</v>
      </c>
      <c r="F456" s="34">
        <f>IFERROR(_xlfn.XLOOKUP(E456,Index!$A:$A,Index!$B:$B),"")</f>
        <v>80.5</v>
      </c>
    </row>
    <row r="457" spans="1:6" s="1" customFormat="1" ht="12" x14ac:dyDescent="0.2">
      <c r="A457" s="26"/>
      <c r="B457" s="26"/>
      <c r="C457" s="82" t="s">
        <v>1159</v>
      </c>
      <c r="D457" s="37">
        <v>50</v>
      </c>
      <c r="E457" s="35" t="s">
        <v>294</v>
      </c>
      <c r="F457" s="34">
        <f>IFERROR(_xlfn.XLOOKUP(E457,Index!$A:$A,Index!$B:$B),"")</f>
        <v>88.5</v>
      </c>
    </row>
    <row r="458" spans="1:6" s="1" customFormat="1" ht="12" x14ac:dyDescent="0.2">
      <c r="A458" s="26"/>
      <c r="B458" s="26"/>
      <c r="C458" s="82" t="s">
        <v>231</v>
      </c>
      <c r="D458" s="37">
        <v>65</v>
      </c>
      <c r="E458" s="35" t="s">
        <v>295</v>
      </c>
      <c r="F458" s="34">
        <f>IFERROR(_xlfn.XLOOKUP(E458,Index!$A:$A,Index!$B:$B),"")</f>
        <v>93.5</v>
      </c>
    </row>
    <row r="459" spans="1:6" s="1" customFormat="1" ht="12" x14ac:dyDescent="0.2">
      <c r="A459" s="26"/>
      <c r="B459" s="26"/>
      <c r="C459" s="82" t="s">
        <v>1166</v>
      </c>
      <c r="D459" s="37">
        <v>80</v>
      </c>
      <c r="E459" s="35" t="s">
        <v>296</v>
      </c>
      <c r="F459" s="34">
        <f>IFERROR(_xlfn.XLOOKUP(E459,Index!$A:$A,Index!$B:$B),"")</f>
        <v>124.5</v>
      </c>
    </row>
    <row r="460" spans="1:6" s="1" customFormat="1" ht="12" x14ac:dyDescent="0.2">
      <c r="A460" s="26"/>
      <c r="B460" s="26"/>
      <c r="C460" s="82" t="s">
        <v>1170</v>
      </c>
      <c r="D460" s="37">
        <v>100</v>
      </c>
      <c r="E460" s="35" t="s">
        <v>297</v>
      </c>
      <c r="F460" s="34">
        <f>IFERROR(_xlfn.XLOOKUP(E460,Index!$A:$A,Index!$B:$B),"")</f>
        <v>133.5</v>
      </c>
    </row>
    <row r="461" spans="1:6" s="1" customFormat="1" ht="12" x14ac:dyDescent="0.2">
      <c r="A461" s="66"/>
      <c r="B461" s="60" t="s">
        <v>298</v>
      </c>
      <c r="C461" s="97" t="s">
        <v>1174</v>
      </c>
      <c r="D461" s="37">
        <v>125</v>
      </c>
      <c r="E461" s="35" t="s">
        <v>931</v>
      </c>
      <c r="F461" s="34">
        <f>IFERROR(_xlfn.XLOOKUP(E461,Index!$A:$A,Index!$B:$B),"")</f>
        <v>225</v>
      </c>
    </row>
    <row r="462" spans="1:6" s="1" customFormat="1" ht="12" x14ac:dyDescent="0.2">
      <c r="A462" s="26"/>
      <c r="B462" s="26"/>
      <c r="C462" s="82" t="s">
        <v>1178</v>
      </c>
      <c r="D462" s="37">
        <v>150</v>
      </c>
      <c r="E462" s="35" t="s">
        <v>300</v>
      </c>
      <c r="F462" s="34">
        <f>IFERROR(_xlfn.XLOOKUP(E462,Index!$A:$A,Index!$B:$B),"")</f>
        <v>296.5</v>
      </c>
    </row>
    <row r="463" spans="1:6" s="1" customFormat="1" ht="12" x14ac:dyDescent="0.2">
      <c r="A463" s="26"/>
      <c r="B463" s="26"/>
      <c r="C463" s="82" t="s">
        <v>1182</v>
      </c>
      <c r="D463" s="37">
        <v>200</v>
      </c>
      <c r="E463" s="35" t="s">
        <v>301</v>
      </c>
      <c r="F463" s="34">
        <f>IFERROR(_xlfn.XLOOKUP(E463,Index!$A:$A,Index!$B:$B),"")</f>
        <v>516</v>
      </c>
    </row>
    <row r="464" spans="1:6" s="1" customFormat="1" ht="12" x14ac:dyDescent="0.2">
      <c r="A464" s="26"/>
      <c r="B464" s="26"/>
      <c r="C464" s="82" t="s">
        <v>1186</v>
      </c>
      <c r="D464" s="37">
        <v>250</v>
      </c>
      <c r="E464" s="35" t="s">
        <v>302</v>
      </c>
      <c r="F464" s="34">
        <f>IFERROR(_xlfn.XLOOKUP(E464,Index!$A:$A,Index!$B:$B),"")</f>
        <v>707</v>
      </c>
    </row>
    <row r="465" spans="1:6" s="1" customFormat="1" ht="12" x14ac:dyDescent="0.2">
      <c r="A465" s="26"/>
      <c r="B465" s="26"/>
      <c r="C465" s="82" t="s">
        <v>1190</v>
      </c>
      <c r="D465" s="37">
        <v>300</v>
      </c>
      <c r="E465" s="35" t="s">
        <v>6339</v>
      </c>
      <c r="F465" s="34">
        <f>IFERROR(_xlfn.XLOOKUP(E465,Index!$A:$A,Index!$B:$B),"")</f>
        <v>889.5</v>
      </c>
    </row>
    <row r="466" spans="1:6" s="1" customFormat="1" ht="12" x14ac:dyDescent="0.2">
      <c r="A466" s="26"/>
      <c r="B466" s="26"/>
      <c r="C466" s="82" t="s">
        <v>1192</v>
      </c>
      <c r="D466" s="37">
        <v>350</v>
      </c>
      <c r="E466" s="35" t="s">
        <v>6338</v>
      </c>
      <c r="F466" s="34">
        <f>IFERROR(_xlfn.XLOOKUP(E466,Index!$A:$A,Index!$B:$B),"")</f>
        <v>889.5</v>
      </c>
    </row>
    <row r="467" spans="1:6" s="1" customFormat="1" ht="12" x14ac:dyDescent="0.2">
      <c r="A467" s="26"/>
      <c r="B467" s="26"/>
      <c r="C467" s="82" t="s">
        <v>1194</v>
      </c>
      <c r="D467" s="37">
        <v>400</v>
      </c>
      <c r="E467" s="35" t="s">
        <v>303</v>
      </c>
      <c r="F467" s="34">
        <f>IFERROR(_xlfn.XLOOKUP(E467,Index!$A:$A,Index!$B:$B),"")</f>
        <v>1485</v>
      </c>
    </row>
    <row r="468" spans="1:6" s="1" customFormat="1" ht="12" x14ac:dyDescent="0.2">
      <c r="A468" s="26"/>
      <c r="B468" s="26"/>
      <c r="C468" s="82" t="s">
        <v>1196</v>
      </c>
      <c r="D468" s="37">
        <v>450</v>
      </c>
      <c r="E468" s="35" t="s">
        <v>932</v>
      </c>
      <c r="F468" s="34">
        <f>IFERROR(_xlfn.XLOOKUP(E468,Index!$A:$A,Index!$B:$B),"")</f>
        <v>3938</v>
      </c>
    </row>
    <row r="469" spans="1:6" s="1" customFormat="1" ht="12" x14ac:dyDescent="0.2">
      <c r="A469" s="26"/>
      <c r="B469" s="26"/>
      <c r="C469" s="82" t="s">
        <v>1197</v>
      </c>
      <c r="D469" s="37">
        <v>500</v>
      </c>
      <c r="E469" s="35" t="s">
        <v>305</v>
      </c>
      <c r="F469" s="34">
        <f>IFERROR(_xlfn.XLOOKUP(E469,Index!$A:$A,Index!$B:$B),"")</f>
        <v>5594</v>
      </c>
    </row>
    <row r="470" spans="1:6" s="1" customFormat="1" ht="12" x14ac:dyDescent="0.2">
      <c r="A470" s="26"/>
      <c r="B470" s="26"/>
      <c r="C470" s="82" t="s">
        <v>1198</v>
      </c>
      <c r="D470" s="37">
        <v>550</v>
      </c>
      <c r="E470" s="35" t="s">
        <v>306</v>
      </c>
      <c r="F470" s="34">
        <f>IFERROR(_xlfn.XLOOKUP(E470,Index!$A:$A,Index!$B:$B),"")</f>
        <v>7737</v>
      </c>
    </row>
    <row r="471" spans="1:6" s="1" customFormat="1" ht="12" x14ac:dyDescent="0.2">
      <c r="A471" s="66"/>
      <c r="B471" s="60" t="s">
        <v>1221</v>
      </c>
      <c r="C471" s="97" t="s">
        <v>1143</v>
      </c>
      <c r="D471" s="37">
        <v>15</v>
      </c>
      <c r="E471" s="35" t="s">
        <v>2853</v>
      </c>
      <c r="F471" s="34">
        <f>IFERROR(_xlfn.XLOOKUP(E471,Index!$A:$A,Index!$B:$B),"")</f>
        <v>83.25</v>
      </c>
    </row>
    <row r="472" spans="1:6" s="1" customFormat="1" ht="12" x14ac:dyDescent="0.2">
      <c r="A472" s="26"/>
      <c r="B472" s="26"/>
      <c r="C472" s="82" t="s">
        <v>217</v>
      </c>
      <c r="D472" s="37">
        <v>20</v>
      </c>
      <c r="E472" s="35" t="s">
        <v>2854</v>
      </c>
      <c r="F472" s="34">
        <f>IFERROR(_xlfn.XLOOKUP(E472,Index!$A:$A,Index!$B:$B),"")</f>
        <v>83.25</v>
      </c>
    </row>
    <row r="473" spans="1:6" s="1" customFormat="1" ht="12" x14ac:dyDescent="0.2">
      <c r="A473" s="26"/>
      <c r="B473" s="26"/>
      <c r="C473" s="82" t="s">
        <v>1150</v>
      </c>
      <c r="D473" s="37">
        <v>25</v>
      </c>
      <c r="E473" s="35" t="s">
        <v>2854</v>
      </c>
      <c r="F473" s="34">
        <f>IFERROR(_xlfn.XLOOKUP(E473,Index!$A:$A,Index!$B:$B),"")</f>
        <v>83.25</v>
      </c>
    </row>
    <row r="474" spans="1:6" s="1" customFormat="1" ht="12" x14ac:dyDescent="0.2">
      <c r="A474" s="26"/>
      <c r="B474" s="26"/>
      <c r="C474" s="82" t="s">
        <v>223</v>
      </c>
      <c r="D474" s="37">
        <v>32</v>
      </c>
      <c r="E474" s="35" t="s">
        <v>2857</v>
      </c>
      <c r="F474" s="34">
        <f>IFERROR(_xlfn.XLOOKUP(E474,Index!$A:$A,Index!$B:$B),"")</f>
        <v>92</v>
      </c>
    </row>
    <row r="475" spans="1:6" s="1" customFormat="1" ht="12" x14ac:dyDescent="0.2">
      <c r="A475" s="26"/>
      <c r="B475" s="26"/>
      <c r="C475" s="82" t="s">
        <v>225</v>
      </c>
      <c r="D475" s="37">
        <v>40</v>
      </c>
      <c r="E475" s="35" t="s">
        <v>2857</v>
      </c>
      <c r="F475" s="34">
        <f>IFERROR(_xlfn.XLOOKUP(E475,Index!$A:$A,Index!$B:$B),"")</f>
        <v>92</v>
      </c>
    </row>
    <row r="476" spans="1:6" s="1" customFormat="1" ht="12" x14ac:dyDescent="0.2">
      <c r="A476" s="26"/>
      <c r="B476" s="26"/>
      <c r="C476" s="82" t="s">
        <v>1159</v>
      </c>
      <c r="D476" s="37">
        <v>50</v>
      </c>
      <c r="E476" s="35" t="s">
        <v>307</v>
      </c>
      <c r="F476" s="34">
        <f>IFERROR(_xlfn.XLOOKUP(E476,Index!$A:$A,Index!$B:$B),"")</f>
        <v>92</v>
      </c>
    </row>
    <row r="477" spans="1:6" s="1" customFormat="1" ht="12" x14ac:dyDescent="0.2">
      <c r="A477" s="26"/>
      <c r="B477" s="26"/>
      <c r="C477" s="82" t="s">
        <v>231</v>
      </c>
      <c r="D477" s="37">
        <v>65</v>
      </c>
      <c r="E477" s="35" t="s">
        <v>308</v>
      </c>
      <c r="F477" s="34">
        <f>IFERROR(_xlfn.XLOOKUP(E477,Index!$A:$A,Index!$B:$B),"")</f>
        <v>108.5</v>
      </c>
    </row>
    <row r="478" spans="1:6" s="1" customFormat="1" ht="12" x14ac:dyDescent="0.2">
      <c r="A478" s="26"/>
      <c r="B478" s="26"/>
      <c r="C478" s="82" t="s">
        <v>1166</v>
      </c>
      <c r="D478" s="37">
        <v>80</v>
      </c>
      <c r="E478" s="35" t="s">
        <v>309</v>
      </c>
      <c r="F478" s="34">
        <f>IFERROR(_xlfn.XLOOKUP(E478,Index!$A:$A,Index!$B:$B),"")</f>
        <v>125</v>
      </c>
    </row>
    <row r="479" spans="1:6" s="1" customFormat="1" ht="12" x14ac:dyDescent="0.2">
      <c r="A479" s="26"/>
      <c r="B479" s="26"/>
      <c r="C479" s="82" t="s">
        <v>1170</v>
      </c>
      <c r="D479" s="37">
        <v>100</v>
      </c>
      <c r="E479" s="35" t="s">
        <v>310</v>
      </c>
      <c r="F479" s="34">
        <f>IFERROR(_xlfn.XLOOKUP(E479,Index!$A:$A,Index!$B:$B),"")</f>
        <v>204</v>
      </c>
    </row>
    <row r="480" spans="1:6" s="1" customFormat="1" x14ac:dyDescent="0.25">
      <c r="A480" s="26"/>
      <c r="B480"/>
      <c r="C480" s="82" t="s">
        <v>1174</v>
      </c>
      <c r="D480" s="37">
        <v>125</v>
      </c>
      <c r="E480" s="35" t="s">
        <v>311</v>
      </c>
      <c r="F480" s="34">
        <f>IFERROR(_xlfn.XLOOKUP(E480,Index!$A:$A,Index!$B:$B),"")</f>
        <v>316</v>
      </c>
    </row>
    <row r="481" spans="1:6" s="1" customFormat="1" ht="12" x14ac:dyDescent="0.2">
      <c r="A481" s="26"/>
      <c r="B481" s="26"/>
      <c r="C481" s="82" t="s">
        <v>1178</v>
      </c>
      <c r="D481" s="37">
        <v>150</v>
      </c>
      <c r="E481" s="35" t="s">
        <v>312</v>
      </c>
      <c r="F481" s="34">
        <f>IFERROR(_xlfn.XLOOKUP(E481,Index!$A:$A,Index!$B:$B),"")</f>
        <v>394.5</v>
      </c>
    </row>
    <row r="482" spans="1:6" s="1" customFormat="1" ht="12" x14ac:dyDescent="0.2">
      <c r="A482" s="26"/>
      <c r="B482" s="26"/>
      <c r="C482" s="82" t="s">
        <v>1182</v>
      </c>
      <c r="D482" s="37">
        <v>200</v>
      </c>
      <c r="E482" s="35" t="s">
        <v>313</v>
      </c>
      <c r="F482" s="34">
        <f>IFERROR(_xlfn.XLOOKUP(E482,Index!$A:$A,Index!$B:$B),"")</f>
        <v>1246</v>
      </c>
    </row>
    <row r="483" spans="1:6" s="1" customFormat="1" ht="12" x14ac:dyDescent="0.2">
      <c r="A483" s="26"/>
      <c r="B483" s="26"/>
      <c r="C483" s="82" t="s">
        <v>1186</v>
      </c>
      <c r="D483" s="37">
        <v>250</v>
      </c>
      <c r="E483" s="35" t="s">
        <v>314</v>
      </c>
      <c r="F483" s="34">
        <f>IFERROR(_xlfn.XLOOKUP(E483,Index!$A:$A,Index!$B:$B),"")</f>
        <v>2084</v>
      </c>
    </row>
    <row r="484" spans="1:6" s="1" customFormat="1" ht="12" x14ac:dyDescent="0.2">
      <c r="A484" s="26"/>
      <c r="B484" s="26"/>
      <c r="C484" s="82" t="s">
        <v>1190</v>
      </c>
      <c r="D484" s="37">
        <v>300</v>
      </c>
      <c r="E484" s="35" t="s">
        <v>315</v>
      </c>
      <c r="F484" s="34">
        <f>IFERROR(_xlfn.XLOOKUP(E484,Index!$A:$A,Index!$B:$B),"")</f>
        <v>1943</v>
      </c>
    </row>
    <row r="485" spans="1:6" s="1" customFormat="1" ht="12" x14ac:dyDescent="0.2">
      <c r="A485" s="26"/>
      <c r="B485" s="26"/>
      <c r="C485" s="82" t="s">
        <v>1192</v>
      </c>
      <c r="D485" s="37">
        <v>350</v>
      </c>
      <c r="E485" s="35" t="s">
        <v>316</v>
      </c>
      <c r="F485" s="34">
        <f>IFERROR(_xlfn.XLOOKUP(E485,Index!$A:$A,Index!$B:$B),"")</f>
        <v>3150</v>
      </c>
    </row>
    <row r="486" spans="1:6" s="1" customFormat="1" ht="12" x14ac:dyDescent="0.2">
      <c r="A486" s="26"/>
      <c r="B486" s="26"/>
      <c r="C486" s="82" t="s">
        <v>1194</v>
      </c>
      <c r="D486" s="37">
        <v>400</v>
      </c>
      <c r="E486" s="35" t="s">
        <v>317</v>
      </c>
      <c r="F486" s="34">
        <f>IFERROR(_xlfn.XLOOKUP(E486,Index!$A:$A,Index!$B:$B),"")</f>
        <v>4435</v>
      </c>
    </row>
    <row r="487" spans="1:6" s="1" customFormat="1" ht="12" x14ac:dyDescent="0.2">
      <c r="A487" s="26"/>
      <c r="B487" s="26"/>
      <c r="C487" s="82" t="s">
        <v>1196</v>
      </c>
      <c r="D487" s="37">
        <v>450</v>
      </c>
      <c r="E487" s="35" t="s">
        <v>318</v>
      </c>
      <c r="F487" s="34">
        <f>IFERROR(_xlfn.XLOOKUP(E487,Index!$A:$A,Index!$B:$B),"")</f>
        <v>6303</v>
      </c>
    </row>
    <row r="488" spans="1:6" s="1" customFormat="1" ht="12" x14ac:dyDescent="0.2">
      <c r="A488" s="26"/>
      <c r="B488" s="26"/>
      <c r="C488" s="82" t="s">
        <v>1197</v>
      </c>
      <c r="D488" s="37">
        <v>500</v>
      </c>
      <c r="E488" s="38" t="s">
        <v>5542</v>
      </c>
      <c r="F488" s="250">
        <f>F487+803</f>
        <v>7106</v>
      </c>
    </row>
    <row r="489" spans="1:6" s="1" customFormat="1" ht="12" x14ac:dyDescent="0.2">
      <c r="A489" s="26"/>
      <c r="B489" s="26"/>
      <c r="C489" s="82" t="s">
        <v>1198</v>
      </c>
      <c r="D489" s="37">
        <v>550</v>
      </c>
      <c r="E489" s="35" t="s">
        <v>2858</v>
      </c>
      <c r="F489" s="34">
        <f>IFERROR(_xlfn.XLOOKUP(E489,Index!$A:$A,Index!$B:$B),"")</f>
        <v>8453</v>
      </c>
    </row>
    <row r="490" spans="1:6" s="1" customFormat="1" ht="12" x14ac:dyDescent="0.2">
      <c r="A490" s="26"/>
      <c r="B490" s="60" t="s">
        <v>122</v>
      </c>
      <c r="C490" s="82" t="s">
        <v>1143</v>
      </c>
      <c r="D490" s="37">
        <v>15</v>
      </c>
      <c r="E490" s="31" t="s">
        <v>2859</v>
      </c>
      <c r="F490" s="34">
        <f>IFERROR(_xlfn.XLOOKUP(E490,Index!$A:$A,Index!$B:$B),"")</f>
        <v>83.25</v>
      </c>
    </row>
    <row r="491" spans="1:6" s="1" customFormat="1" ht="12" x14ac:dyDescent="0.2">
      <c r="A491" s="26"/>
      <c r="B491" s="26"/>
      <c r="C491" s="82" t="s">
        <v>217</v>
      </c>
      <c r="D491" s="37">
        <v>20</v>
      </c>
      <c r="E491" s="35" t="s">
        <v>2860</v>
      </c>
      <c r="F491" s="34">
        <f>IFERROR(_xlfn.XLOOKUP(E491,Index!$A:$A,Index!$B:$B),"")</f>
        <v>83.25</v>
      </c>
    </row>
    <row r="492" spans="1:6" s="1" customFormat="1" ht="12" x14ac:dyDescent="0.2">
      <c r="A492" s="26"/>
      <c r="B492" s="26"/>
      <c r="C492" s="82" t="s">
        <v>1150</v>
      </c>
      <c r="D492" s="37">
        <v>25</v>
      </c>
      <c r="E492" s="35" t="s">
        <v>319</v>
      </c>
      <c r="F492" s="34">
        <f>IFERROR(_xlfn.XLOOKUP(E492,Index!$A:$A,Index!$B:$B),"")</f>
        <v>442.5</v>
      </c>
    </row>
    <row r="493" spans="1:6" s="1" customFormat="1" ht="12" x14ac:dyDescent="0.2">
      <c r="A493" s="26"/>
      <c r="B493" s="26"/>
      <c r="C493" s="82" t="s">
        <v>223</v>
      </c>
      <c r="D493" s="37">
        <v>32</v>
      </c>
      <c r="E493" s="38" t="s">
        <v>5542</v>
      </c>
      <c r="F493" s="250">
        <f>$F$474</f>
        <v>92</v>
      </c>
    </row>
    <row r="494" spans="1:6" s="1" customFormat="1" ht="12" x14ac:dyDescent="0.2">
      <c r="A494" s="99"/>
      <c r="B494" s="99"/>
      <c r="C494" s="82" t="s">
        <v>225</v>
      </c>
      <c r="D494" s="37">
        <v>40</v>
      </c>
      <c r="E494" s="35" t="s">
        <v>320</v>
      </c>
      <c r="F494" s="34">
        <f>IFERROR(_xlfn.XLOOKUP(E494,Index!$A:$A,Index!$B:$B),"")</f>
        <v>442.5</v>
      </c>
    </row>
    <row r="495" spans="1:6" s="1" customFormat="1" x14ac:dyDescent="0.25">
      <c r="A495"/>
      <c r="B495" s="26"/>
      <c r="C495" s="82" t="s">
        <v>1159</v>
      </c>
      <c r="D495" s="37">
        <v>50</v>
      </c>
      <c r="E495" s="35" t="s">
        <v>321</v>
      </c>
      <c r="F495" s="34">
        <f>IFERROR(_xlfn.XLOOKUP(E495,Index!$A:$A,Index!$B:$B),"")</f>
        <v>92</v>
      </c>
    </row>
    <row r="496" spans="1:6" s="1" customFormat="1" x14ac:dyDescent="0.25">
      <c r="A496"/>
      <c r="B496" s="26"/>
      <c r="C496" s="82" t="s">
        <v>231</v>
      </c>
      <c r="D496" s="37">
        <v>65</v>
      </c>
      <c r="E496" s="35" t="s">
        <v>322</v>
      </c>
      <c r="F496" s="34">
        <f>IFERROR(_xlfn.XLOOKUP(E496,Index!$A:$A,Index!$B:$B),"")</f>
        <v>108.5</v>
      </c>
    </row>
    <row r="497" spans="1:6" s="1" customFormat="1" x14ac:dyDescent="0.25">
      <c r="A497"/>
      <c r="B497" s="26"/>
      <c r="C497" s="82" t="s">
        <v>1166</v>
      </c>
      <c r="D497" s="37">
        <v>80</v>
      </c>
      <c r="E497" s="35" t="s">
        <v>323</v>
      </c>
      <c r="F497" s="34">
        <f>IFERROR(_xlfn.XLOOKUP(E497,Index!$A:$A,Index!$B:$B),"")</f>
        <v>125</v>
      </c>
    </row>
    <row r="498" spans="1:6" s="1" customFormat="1" ht="12.75" customHeight="1" x14ac:dyDescent="0.25">
      <c r="A498"/>
      <c r="B498" s="26"/>
      <c r="C498" s="82" t="s">
        <v>1170</v>
      </c>
      <c r="D498" s="37">
        <v>100</v>
      </c>
      <c r="E498" s="35" t="s">
        <v>324</v>
      </c>
      <c r="F498" s="34">
        <f>IFERROR(_xlfn.XLOOKUP(E498,Index!$A:$A,Index!$B:$B),"")</f>
        <v>204</v>
      </c>
    </row>
    <row r="499" spans="1:6" s="1" customFormat="1" ht="12.75" customHeight="1" x14ac:dyDescent="0.25">
      <c r="A499"/>
      <c r="B499" s="26"/>
      <c r="C499" s="82" t="s">
        <v>1174</v>
      </c>
      <c r="D499" s="37">
        <v>125</v>
      </c>
      <c r="E499" s="35" t="s">
        <v>325</v>
      </c>
      <c r="F499" s="34">
        <f>IFERROR(_xlfn.XLOOKUP(E499,Index!$A:$A,Index!$B:$B),"")</f>
        <v>316</v>
      </c>
    </row>
    <row r="500" spans="1:6" s="1" customFormat="1" x14ac:dyDescent="0.25">
      <c r="A500"/>
      <c r="B500" s="26"/>
      <c r="C500" s="82" t="s">
        <v>1178</v>
      </c>
      <c r="D500" s="37">
        <v>150</v>
      </c>
      <c r="E500" s="35" t="s">
        <v>326</v>
      </c>
      <c r="F500" s="34">
        <f>IFERROR(_xlfn.XLOOKUP(E500,Index!$A:$A,Index!$B:$B),"")</f>
        <v>394.5</v>
      </c>
    </row>
    <row r="501" spans="1:6" s="1" customFormat="1" x14ac:dyDescent="0.25">
      <c r="A501"/>
      <c r="B501" s="26"/>
      <c r="C501" s="82" t="s">
        <v>1182</v>
      </c>
      <c r="D501" s="37">
        <v>200</v>
      </c>
      <c r="E501" s="35" t="s">
        <v>327</v>
      </c>
      <c r="F501" s="34">
        <f>IFERROR(_xlfn.XLOOKUP(E501,Index!$A:$A,Index!$B:$B),"")</f>
        <v>1246</v>
      </c>
    </row>
    <row r="502" spans="1:6" s="1" customFormat="1" ht="12.75" customHeight="1" x14ac:dyDescent="0.25">
      <c r="A502"/>
      <c r="B502" s="26"/>
      <c r="C502" s="82" t="s">
        <v>1186</v>
      </c>
      <c r="D502" s="37">
        <v>250</v>
      </c>
      <c r="E502" s="35" t="s">
        <v>328</v>
      </c>
      <c r="F502" s="34">
        <f>IFERROR(_xlfn.XLOOKUP(E502,Index!$A:$A,Index!$B:$B),"")</f>
        <v>2084</v>
      </c>
    </row>
    <row r="503" spans="1:6" s="1" customFormat="1" ht="12.75" customHeight="1" x14ac:dyDescent="0.25">
      <c r="A503"/>
      <c r="B503" s="26"/>
      <c r="C503" s="82" t="s">
        <v>1190</v>
      </c>
      <c r="D503" s="37">
        <v>300</v>
      </c>
      <c r="E503" s="35" t="s">
        <v>329</v>
      </c>
      <c r="F503" s="34">
        <f>IFERROR(_xlfn.XLOOKUP(E503,Index!$A:$A,Index!$B:$B),"")</f>
        <v>1943</v>
      </c>
    </row>
    <row r="504" spans="1:6" s="1" customFormat="1" ht="12.75" customHeight="1" x14ac:dyDescent="0.25">
      <c r="A504"/>
      <c r="B504" s="26"/>
      <c r="C504" s="82" t="s">
        <v>1192</v>
      </c>
      <c r="D504" s="37">
        <v>350</v>
      </c>
      <c r="E504" s="35" t="s">
        <v>330</v>
      </c>
      <c r="F504" s="34">
        <f>IFERROR(_xlfn.XLOOKUP(E504,Index!$A:$A,Index!$B:$B),"")</f>
        <v>3150</v>
      </c>
    </row>
    <row r="505" spans="1:6" s="1" customFormat="1" ht="12.75" customHeight="1" x14ac:dyDescent="0.25">
      <c r="A505"/>
      <c r="B505" s="26"/>
      <c r="C505" s="82" t="s">
        <v>1194</v>
      </c>
      <c r="D505" s="37">
        <v>400</v>
      </c>
      <c r="E505" s="35" t="s">
        <v>2852</v>
      </c>
      <c r="F505" s="34">
        <f>IFERROR(_xlfn.XLOOKUP(E505,Index!$A:$A,Index!$B:$B),"")</f>
        <v>4435</v>
      </c>
    </row>
    <row r="506" spans="1:6" s="1" customFormat="1" ht="12.75" customHeight="1" x14ac:dyDescent="0.25">
      <c r="A506"/>
      <c r="B506" s="26"/>
      <c r="C506" s="82" t="s">
        <v>1196</v>
      </c>
      <c r="D506" s="37">
        <v>450</v>
      </c>
      <c r="E506" s="35" t="s">
        <v>331</v>
      </c>
      <c r="F506" s="34">
        <f>IFERROR(_xlfn.XLOOKUP(E506,Index!$A:$A,Index!$B:$B),"")</f>
        <v>33075</v>
      </c>
    </row>
    <row r="507" spans="1:6" s="1" customFormat="1" ht="12.75" customHeight="1" x14ac:dyDescent="0.25">
      <c r="A507"/>
      <c r="B507" s="26"/>
      <c r="C507" s="82" t="s">
        <v>1197</v>
      </c>
      <c r="D507" s="37">
        <v>500</v>
      </c>
      <c r="E507" s="38" t="s">
        <v>5542</v>
      </c>
      <c r="F507" s="250">
        <f t="shared" ref="F507:F508" si="1">F488</f>
        <v>7106</v>
      </c>
    </row>
    <row r="508" spans="1:6" s="1" customFormat="1" ht="12.75" customHeight="1" x14ac:dyDescent="0.25">
      <c r="A508"/>
      <c r="B508" s="26"/>
      <c r="C508" s="82" t="s">
        <v>1198</v>
      </c>
      <c r="D508" s="37">
        <v>550</v>
      </c>
      <c r="E508" s="38" t="s">
        <v>5542</v>
      </c>
      <c r="F508" s="250">
        <f t="shared" si="1"/>
        <v>8453</v>
      </c>
    </row>
    <row r="509" spans="1:6" s="1" customFormat="1" ht="12.75" customHeight="1" x14ac:dyDescent="0.25">
      <c r="A509"/>
      <c r="B509" s="60" t="s">
        <v>134</v>
      </c>
      <c r="C509" s="82" t="s">
        <v>1143</v>
      </c>
      <c r="D509" s="37">
        <v>15</v>
      </c>
      <c r="E509" s="35" t="s">
        <v>2861</v>
      </c>
      <c r="F509" s="34">
        <f>IFERROR(_xlfn.XLOOKUP(E509,Index!$A:$A,Index!$B:$B),"")</f>
        <v>83.25</v>
      </c>
    </row>
    <row r="510" spans="1:6" s="1" customFormat="1" ht="12.75" customHeight="1" x14ac:dyDescent="0.25">
      <c r="A510"/>
      <c r="B510" s="26"/>
      <c r="C510" s="82" t="s">
        <v>217</v>
      </c>
      <c r="D510" s="37">
        <v>20</v>
      </c>
      <c r="E510" s="35" t="s">
        <v>2855</v>
      </c>
      <c r="F510" s="34">
        <f>IFERROR(_xlfn.XLOOKUP(E510,Index!$A:$A,Index!$B:$B),"")</f>
        <v>83.25</v>
      </c>
    </row>
    <row r="511" spans="1:6" s="1" customFormat="1" ht="12.75" customHeight="1" x14ac:dyDescent="0.25">
      <c r="A511"/>
      <c r="B511" s="26"/>
      <c r="C511" s="82" t="s">
        <v>1150</v>
      </c>
      <c r="D511" s="37">
        <v>25</v>
      </c>
      <c r="E511" s="35" t="s">
        <v>2855</v>
      </c>
      <c r="F511" s="34">
        <f>IFERROR(_xlfn.XLOOKUP(E511,Index!$A:$A,Index!$B:$B),"")</f>
        <v>83.25</v>
      </c>
    </row>
    <row r="512" spans="1:6" s="1" customFormat="1" ht="12.75" customHeight="1" x14ac:dyDescent="0.25">
      <c r="A512"/>
      <c r="B512" s="26"/>
      <c r="C512" s="82" t="s">
        <v>223</v>
      </c>
      <c r="D512" s="37">
        <v>32</v>
      </c>
      <c r="E512" s="38" t="s">
        <v>5542</v>
      </c>
      <c r="F512" s="250">
        <f>$F$474</f>
        <v>92</v>
      </c>
    </row>
    <row r="513" spans="1:6" s="1" customFormat="1" ht="12.75" customHeight="1" x14ac:dyDescent="0.25">
      <c r="A513"/>
      <c r="B513" s="26"/>
      <c r="C513" s="82" t="s">
        <v>225</v>
      </c>
      <c r="D513" s="37">
        <v>40</v>
      </c>
      <c r="E513" s="35" t="s">
        <v>2862</v>
      </c>
      <c r="F513" s="34">
        <f>IFERROR(_xlfn.XLOOKUP(E513,Index!$A:$A,Index!$B:$B),"")</f>
        <v>92</v>
      </c>
    </row>
    <row r="514" spans="1:6" s="1" customFormat="1" ht="12.75" customHeight="1" x14ac:dyDescent="0.25">
      <c r="A514"/>
      <c r="B514" s="26"/>
      <c r="C514" s="82" t="s">
        <v>1159</v>
      </c>
      <c r="D514" s="37">
        <v>50</v>
      </c>
      <c r="E514" s="35" t="s">
        <v>332</v>
      </c>
      <c r="F514" s="34">
        <f>IFERROR(_xlfn.XLOOKUP(E514,Index!$A:$A,Index!$B:$B),"")</f>
        <v>92</v>
      </c>
    </row>
    <row r="515" spans="1:6" s="1" customFormat="1" ht="12.75" customHeight="1" x14ac:dyDescent="0.25">
      <c r="A515"/>
      <c r="B515" s="26"/>
      <c r="C515" s="82" t="s">
        <v>231</v>
      </c>
      <c r="D515" s="37">
        <v>65</v>
      </c>
      <c r="E515" s="35" t="s">
        <v>333</v>
      </c>
      <c r="F515" s="34">
        <f>IFERROR(_xlfn.XLOOKUP(E515,Index!$A:$A,Index!$B:$B),"")</f>
        <v>108.5</v>
      </c>
    </row>
    <row r="516" spans="1:6" s="1" customFormat="1" ht="12.75" customHeight="1" x14ac:dyDescent="0.25">
      <c r="A516"/>
      <c r="B516" s="26"/>
      <c r="C516" s="82" t="s">
        <v>1166</v>
      </c>
      <c r="D516" s="37">
        <v>80</v>
      </c>
      <c r="E516" s="35" t="s">
        <v>334</v>
      </c>
      <c r="F516" s="34">
        <f>IFERROR(_xlfn.XLOOKUP(E516,Index!$A:$A,Index!$B:$B),"")</f>
        <v>125</v>
      </c>
    </row>
    <row r="517" spans="1:6" s="1" customFormat="1" ht="12.75" customHeight="1" x14ac:dyDescent="0.25">
      <c r="A517"/>
      <c r="B517" s="26"/>
      <c r="C517" s="82" t="s">
        <v>1170</v>
      </c>
      <c r="D517" s="37">
        <v>100</v>
      </c>
      <c r="E517" s="35" t="s">
        <v>335</v>
      </c>
      <c r="F517" s="34">
        <f>IFERROR(_xlfn.XLOOKUP(E517,Index!$A:$A,Index!$B:$B),"")</f>
        <v>204</v>
      </c>
    </row>
    <row r="518" spans="1:6" s="1" customFormat="1" ht="12.75" customHeight="1" x14ac:dyDescent="0.25">
      <c r="A518"/>
      <c r="B518" s="26"/>
      <c r="C518" s="82" t="s">
        <v>1174</v>
      </c>
      <c r="D518" s="37">
        <v>125</v>
      </c>
      <c r="E518" s="35" t="s">
        <v>336</v>
      </c>
      <c r="F518" s="34">
        <f>IFERROR(_xlfn.XLOOKUP(E518,Index!$A:$A,Index!$B:$B),"")</f>
        <v>316</v>
      </c>
    </row>
    <row r="519" spans="1:6" s="1" customFormat="1" ht="12.75" customHeight="1" x14ac:dyDescent="0.25">
      <c r="A519"/>
      <c r="B519" s="26"/>
      <c r="C519" s="82" t="s">
        <v>1178</v>
      </c>
      <c r="D519" s="37">
        <v>150</v>
      </c>
      <c r="E519" s="35" t="s">
        <v>337</v>
      </c>
      <c r="F519" s="34">
        <f>IFERROR(_xlfn.XLOOKUP(E519,Index!$A:$A,Index!$B:$B),"")</f>
        <v>394.5</v>
      </c>
    </row>
    <row r="520" spans="1:6" s="1" customFormat="1" ht="12.75" customHeight="1" x14ac:dyDescent="0.25">
      <c r="A520"/>
      <c r="B520" s="26"/>
      <c r="C520" s="82" t="s">
        <v>1182</v>
      </c>
      <c r="D520" s="37">
        <v>200</v>
      </c>
      <c r="E520" s="35" t="s">
        <v>338</v>
      </c>
      <c r="F520" s="34">
        <f>IFERROR(_xlfn.XLOOKUP(E520,Index!$A:$A,Index!$B:$B),"")</f>
        <v>1246</v>
      </c>
    </row>
    <row r="521" spans="1:6" s="1" customFormat="1" ht="12.75" customHeight="1" x14ac:dyDescent="0.25">
      <c r="A521"/>
      <c r="B521" s="26"/>
      <c r="C521" s="82" t="s">
        <v>1186</v>
      </c>
      <c r="D521" s="37">
        <v>250</v>
      </c>
      <c r="E521" s="35" t="s">
        <v>339</v>
      </c>
      <c r="F521" s="34">
        <f>IFERROR(_xlfn.XLOOKUP(E521,Index!$A:$A,Index!$B:$B),"")</f>
        <v>2084</v>
      </c>
    </row>
    <row r="522" spans="1:6" s="1" customFormat="1" ht="12.75" customHeight="1" x14ac:dyDescent="0.25">
      <c r="A522"/>
      <c r="B522" s="26"/>
      <c r="C522" s="82" t="s">
        <v>1190</v>
      </c>
      <c r="D522" s="37">
        <v>300</v>
      </c>
      <c r="E522" s="35" t="s">
        <v>340</v>
      </c>
      <c r="F522" s="34">
        <f>IFERROR(_xlfn.XLOOKUP(E522,Index!$A:$A,Index!$B:$B),"")</f>
        <v>1943</v>
      </c>
    </row>
    <row r="523" spans="1:6" s="1" customFormat="1" ht="12.75" customHeight="1" x14ac:dyDescent="0.25">
      <c r="A523"/>
      <c r="B523" s="26"/>
      <c r="C523" s="82" t="s">
        <v>1192</v>
      </c>
      <c r="D523" s="37">
        <v>350</v>
      </c>
      <c r="E523" s="35" t="s">
        <v>341</v>
      </c>
      <c r="F523" s="34">
        <f>IFERROR(_xlfn.XLOOKUP(E523,Index!$A:$A,Index!$B:$B),"")</f>
        <v>3150</v>
      </c>
    </row>
    <row r="524" spans="1:6" s="1" customFormat="1" ht="12.75" customHeight="1" x14ac:dyDescent="0.25">
      <c r="A524"/>
      <c r="B524" s="26"/>
      <c r="C524" s="82" t="s">
        <v>1194</v>
      </c>
      <c r="D524" s="37">
        <v>400</v>
      </c>
      <c r="E524" s="35" t="s">
        <v>342</v>
      </c>
      <c r="F524" s="34">
        <f>IFERROR(_xlfn.XLOOKUP(E524,Index!$A:$A,Index!$B:$B),"")</f>
        <v>4435</v>
      </c>
    </row>
    <row r="525" spans="1:6" s="1" customFormat="1" ht="12.75" customHeight="1" x14ac:dyDescent="0.25">
      <c r="A525"/>
      <c r="B525" s="26"/>
      <c r="C525" s="82" t="s">
        <v>1196</v>
      </c>
      <c r="D525" s="37">
        <v>450</v>
      </c>
      <c r="E525" s="35" t="s">
        <v>343</v>
      </c>
      <c r="F525" s="34">
        <f>IFERROR(_xlfn.XLOOKUP(E525,Index!$A:$A,Index!$B:$B),"")</f>
        <v>6303</v>
      </c>
    </row>
    <row r="526" spans="1:6" s="1" customFormat="1" ht="12.75" customHeight="1" x14ac:dyDescent="0.25">
      <c r="A526"/>
      <c r="B526" s="26"/>
      <c r="C526" s="82" t="s">
        <v>1197</v>
      </c>
      <c r="D526" s="37">
        <v>500</v>
      </c>
      <c r="E526" s="38" t="s">
        <v>5542</v>
      </c>
      <c r="F526" s="250">
        <f t="shared" ref="F526:F529" si="2">F507</f>
        <v>7106</v>
      </c>
    </row>
    <row r="527" spans="1:6" s="1" customFormat="1" ht="12.75" customHeight="1" x14ac:dyDescent="0.25">
      <c r="A527"/>
      <c r="B527" s="26"/>
      <c r="C527" s="82" t="s">
        <v>1198</v>
      </c>
      <c r="D527" s="37">
        <v>550</v>
      </c>
      <c r="E527" s="38" t="s">
        <v>5542</v>
      </c>
      <c r="F527" s="250">
        <f t="shared" si="2"/>
        <v>8453</v>
      </c>
    </row>
    <row r="528" spans="1:6" s="1" customFormat="1" ht="12.75" customHeight="1" x14ac:dyDescent="0.25">
      <c r="A528"/>
      <c r="B528" s="60" t="s">
        <v>145</v>
      </c>
      <c r="C528" s="82" t="s">
        <v>1143</v>
      </c>
      <c r="D528" s="37">
        <v>15</v>
      </c>
      <c r="E528" s="38" t="s">
        <v>5542</v>
      </c>
      <c r="F528" s="250">
        <f t="shared" si="2"/>
        <v>83.25</v>
      </c>
    </row>
    <row r="529" spans="1:6" s="1" customFormat="1" ht="12.75" customHeight="1" x14ac:dyDescent="0.25">
      <c r="A529"/>
      <c r="B529" s="26"/>
      <c r="C529" s="82" t="s">
        <v>217</v>
      </c>
      <c r="D529" s="37">
        <v>20</v>
      </c>
      <c r="E529" s="38" t="s">
        <v>5542</v>
      </c>
      <c r="F529" s="250">
        <f t="shared" si="2"/>
        <v>83.25</v>
      </c>
    </row>
    <row r="530" spans="1:6" s="1" customFormat="1" ht="12.75" customHeight="1" x14ac:dyDescent="0.25">
      <c r="A530"/>
      <c r="B530" s="26"/>
      <c r="C530" s="82" t="s">
        <v>1150</v>
      </c>
      <c r="D530" s="37">
        <v>25</v>
      </c>
      <c r="E530" s="35" t="s">
        <v>2856</v>
      </c>
      <c r="F530" s="34">
        <f>IFERROR(_xlfn.XLOOKUP(E530,Index!$A:$A,Index!$B:$B),"")</f>
        <v>83.25</v>
      </c>
    </row>
    <row r="531" spans="1:6" s="1" customFormat="1" ht="12.75" customHeight="1" x14ac:dyDescent="0.25">
      <c r="A531"/>
      <c r="B531" s="26"/>
      <c r="C531" s="82" t="s">
        <v>223</v>
      </c>
      <c r="D531" s="37">
        <v>32</v>
      </c>
      <c r="E531" s="38" t="s">
        <v>5542</v>
      </c>
      <c r="F531" s="250">
        <f>$F$474</f>
        <v>92</v>
      </c>
    </row>
    <row r="532" spans="1:6" s="1" customFormat="1" ht="12.75" customHeight="1" x14ac:dyDescent="0.25">
      <c r="A532"/>
      <c r="B532" s="26"/>
      <c r="C532" s="82" t="s">
        <v>225</v>
      </c>
      <c r="D532" s="37">
        <v>40</v>
      </c>
      <c r="E532" s="35" t="s">
        <v>344</v>
      </c>
      <c r="F532" s="34">
        <f>IFERROR(_xlfn.XLOOKUP(E532,Index!$A:$A,Index!$B:$B),"")</f>
        <v>92</v>
      </c>
    </row>
    <row r="533" spans="1:6" s="1" customFormat="1" ht="12.75" customHeight="1" x14ac:dyDescent="0.25">
      <c r="A533"/>
      <c r="B533" s="26"/>
      <c r="C533" s="82" t="s">
        <v>1159</v>
      </c>
      <c r="D533" s="37">
        <v>50</v>
      </c>
      <c r="E533" s="35" t="s">
        <v>345</v>
      </c>
      <c r="F533" s="34">
        <f>IFERROR(_xlfn.XLOOKUP(E533,Index!$A:$A,Index!$B:$B),"")</f>
        <v>92</v>
      </c>
    </row>
    <row r="534" spans="1:6" s="1" customFormat="1" ht="12.75" customHeight="1" x14ac:dyDescent="0.25">
      <c r="A534"/>
      <c r="B534" s="26"/>
      <c r="C534" s="82" t="s">
        <v>231</v>
      </c>
      <c r="D534" s="37">
        <v>65</v>
      </c>
      <c r="E534" s="35" t="s">
        <v>346</v>
      </c>
      <c r="F534" s="34">
        <f>IFERROR(_xlfn.XLOOKUP(E534,Index!$A:$A,Index!$B:$B),"")</f>
        <v>108.5</v>
      </c>
    </row>
    <row r="535" spans="1:6" s="1" customFormat="1" ht="12.75" customHeight="1" x14ac:dyDescent="0.25">
      <c r="A535"/>
      <c r="B535" s="26"/>
      <c r="C535" s="82" t="s">
        <v>1166</v>
      </c>
      <c r="D535" s="37">
        <v>80</v>
      </c>
      <c r="E535" s="35" t="s">
        <v>347</v>
      </c>
      <c r="F535" s="34">
        <f>IFERROR(_xlfn.XLOOKUP(E535,Index!$A:$A,Index!$B:$B),"")</f>
        <v>125</v>
      </c>
    </row>
    <row r="536" spans="1:6" s="1" customFormat="1" ht="12.75" customHeight="1" x14ac:dyDescent="0.25">
      <c r="A536"/>
      <c r="B536" s="26"/>
      <c r="C536" s="82" t="s">
        <v>1170</v>
      </c>
      <c r="D536" s="37">
        <v>100</v>
      </c>
      <c r="E536" s="35" t="s">
        <v>348</v>
      </c>
      <c r="F536" s="34">
        <f>IFERROR(_xlfn.XLOOKUP(E536,Index!$A:$A,Index!$B:$B),"")</f>
        <v>204</v>
      </c>
    </row>
    <row r="537" spans="1:6" s="1" customFormat="1" ht="12.75" customHeight="1" x14ac:dyDescent="0.25">
      <c r="A537"/>
      <c r="B537" s="26"/>
      <c r="C537" s="82" t="s">
        <v>1174</v>
      </c>
      <c r="D537" s="37">
        <v>125</v>
      </c>
      <c r="E537" s="35" t="s">
        <v>349</v>
      </c>
      <c r="F537" s="34">
        <f>IFERROR(_xlfn.XLOOKUP(E537,Index!$A:$A,Index!$B:$B),"")</f>
        <v>316</v>
      </c>
    </row>
    <row r="538" spans="1:6" s="1" customFormat="1" ht="12.75" customHeight="1" x14ac:dyDescent="0.25">
      <c r="A538"/>
      <c r="B538" s="26"/>
      <c r="C538" s="82" t="s">
        <v>1178</v>
      </c>
      <c r="D538" s="37">
        <v>150</v>
      </c>
      <c r="E538" s="35" t="s">
        <v>350</v>
      </c>
      <c r="F538" s="34">
        <f>IFERROR(_xlfn.XLOOKUP(E538,Index!$A:$A,Index!$B:$B),"")</f>
        <v>394.5</v>
      </c>
    </row>
    <row r="539" spans="1:6" s="1" customFormat="1" ht="12.75" customHeight="1" x14ac:dyDescent="0.25">
      <c r="A539"/>
      <c r="B539" s="26"/>
      <c r="C539" s="82" t="s">
        <v>1182</v>
      </c>
      <c r="D539" s="37">
        <v>200</v>
      </c>
      <c r="E539" s="35" t="s">
        <v>351</v>
      </c>
      <c r="F539" s="34">
        <f>IFERROR(_xlfn.XLOOKUP(E539,Index!$A:$A,Index!$B:$B),"")</f>
        <v>1246</v>
      </c>
    </row>
    <row r="540" spans="1:6" s="1" customFormat="1" ht="12.75" customHeight="1" x14ac:dyDescent="0.25">
      <c r="A540"/>
      <c r="B540" s="26"/>
      <c r="C540" s="82" t="s">
        <v>1186</v>
      </c>
      <c r="D540" s="37">
        <v>250</v>
      </c>
      <c r="E540" s="35" t="s">
        <v>352</v>
      </c>
      <c r="F540" s="34">
        <f>IFERROR(_xlfn.XLOOKUP(E540,Index!$A:$A,Index!$B:$B),"")</f>
        <v>2084</v>
      </c>
    </row>
    <row r="541" spans="1:6" s="1" customFormat="1" ht="12.75" customHeight="1" x14ac:dyDescent="0.25">
      <c r="A541"/>
      <c r="B541" s="26"/>
      <c r="C541" s="82" t="s">
        <v>1190</v>
      </c>
      <c r="D541" s="37">
        <v>300</v>
      </c>
      <c r="E541" s="35" t="s">
        <v>353</v>
      </c>
      <c r="F541" s="34">
        <f>IFERROR(_xlfn.XLOOKUP(E541,Index!$A:$A,Index!$B:$B),"")</f>
        <v>1943</v>
      </c>
    </row>
    <row r="542" spans="1:6" s="1" customFormat="1" ht="12.75" customHeight="1" x14ac:dyDescent="0.25">
      <c r="A542"/>
      <c r="B542" s="26"/>
      <c r="C542" s="82" t="s">
        <v>1192</v>
      </c>
      <c r="D542" s="37">
        <v>350</v>
      </c>
      <c r="E542" s="38" t="s">
        <v>5542</v>
      </c>
      <c r="F542" s="250">
        <f t="shared" ref="F542:F546" si="3">F523</f>
        <v>3150</v>
      </c>
    </row>
    <row r="543" spans="1:6" s="1" customFormat="1" ht="12.75" customHeight="1" x14ac:dyDescent="0.25">
      <c r="A543"/>
      <c r="B543" s="26"/>
      <c r="C543" s="82" t="s">
        <v>1194</v>
      </c>
      <c r="D543" s="37">
        <v>400</v>
      </c>
      <c r="E543" s="38" t="s">
        <v>5542</v>
      </c>
      <c r="F543" s="250">
        <f t="shared" si="3"/>
        <v>4435</v>
      </c>
    </row>
    <row r="544" spans="1:6" s="1" customFormat="1" ht="12.75" customHeight="1" x14ac:dyDescent="0.25">
      <c r="A544"/>
      <c r="B544" s="26"/>
      <c r="C544" s="82" t="s">
        <v>1196</v>
      </c>
      <c r="D544" s="37">
        <v>450</v>
      </c>
      <c r="E544" s="38" t="s">
        <v>5542</v>
      </c>
      <c r="F544" s="250">
        <f t="shared" si="3"/>
        <v>6303</v>
      </c>
    </row>
    <row r="545" spans="1:6" s="1" customFormat="1" ht="12.75" customHeight="1" x14ac:dyDescent="0.25">
      <c r="A545"/>
      <c r="B545" s="26"/>
      <c r="C545" s="82" t="s">
        <v>1197</v>
      </c>
      <c r="D545" s="37">
        <v>500</v>
      </c>
      <c r="E545" s="38" t="s">
        <v>5542</v>
      </c>
      <c r="F545" s="250">
        <f t="shared" si="3"/>
        <v>7106</v>
      </c>
    </row>
    <row r="546" spans="1:6" s="1" customFormat="1" ht="12.75" customHeight="1" x14ac:dyDescent="0.25">
      <c r="A546"/>
      <c r="B546" s="26"/>
      <c r="C546" s="82" t="s">
        <v>1198</v>
      </c>
      <c r="D546" s="37">
        <v>550</v>
      </c>
      <c r="E546" s="38" t="s">
        <v>5542</v>
      </c>
      <c r="F546" s="250">
        <f t="shared" si="3"/>
        <v>8453</v>
      </c>
    </row>
    <row r="547" spans="1:6" s="1" customFormat="1" ht="12.75" customHeight="1" x14ac:dyDescent="0.25">
      <c r="A547"/>
      <c r="B547" s="60" t="s">
        <v>155</v>
      </c>
      <c r="C547" s="82" t="s">
        <v>1143</v>
      </c>
      <c r="D547" s="37">
        <v>15</v>
      </c>
      <c r="E547" s="35" t="s">
        <v>2863</v>
      </c>
      <c r="F547" s="34">
        <f>IFERROR(_xlfn.XLOOKUP(E547,Index!$A:$A,Index!$B:$B),"")</f>
        <v>83.25</v>
      </c>
    </row>
    <row r="548" spans="1:6" s="1" customFormat="1" ht="12.75" customHeight="1" x14ac:dyDescent="0.25">
      <c r="A548"/>
      <c r="B548" s="26"/>
      <c r="C548" s="82" t="s">
        <v>217</v>
      </c>
      <c r="D548" s="37">
        <v>20</v>
      </c>
      <c r="E548" s="35" t="s">
        <v>2864</v>
      </c>
      <c r="F548" s="34">
        <f>IFERROR(_xlfn.XLOOKUP(E548,Index!$A:$A,Index!$B:$B),"")</f>
        <v>83.25</v>
      </c>
    </row>
    <row r="549" spans="1:6" s="1" customFormat="1" ht="12.75" customHeight="1" x14ac:dyDescent="0.25">
      <c r="A549"/>
      <c r="B549" s="26"/>
      <c r="C549" s="82" t="s">
        <v>1150</v>
      </c>
      <c r="D549" s="37">
        <v>25</v>
      </c>
      <c r="E549" s="35" t="s">
        <v>354</v>
      </c>
      <c r="F549" s="34">
        <f>IFERROR(_xlfn.XLOOKUP(E549,Index!$A:$A,Index!$B:$B),"")</f>
        <v>83.25</v>
      </c>
    </row>
    <row r="550" spans="1:6" s="1" customFormat="1" ht="12.75" customHeight="1" x14ac:dyDescent="0.25">
      <c r="A550"/>
      <c r="B550" s="26"/>
      <c r="C550" s="82" t="s">
        <v>223</v>
      </c>
      <c r="D550" s="37">
        <v>32</v>
      </c>
      <c r="E550" s="38" t="s">
        <v>5542</v>
      </c>
      <c r="F550" s="250">
        <f>$F$474</f>
        <v>92</v>
      </c>
    </row>
    <row r="551" spans="1:6" s="1" customFormat="1" ht="12.75" customHeight="1" x14ac:dyDescent="0.25">
      <c r="A551"/>
      <c r="B551" s="26"/>
      <c r="C551" s="82" t="s">
        <v>225</v>
      </c>
      <c r="D551" s="37">
        <v>40</v>
      </c>
      <c r="E551" s="35" t="s">
        <v>2865</v>
      </c>
      <c r="F551" s="34">
        <f>IFERROR(_xlfn.XLOOKUP(E551,Index!$A:$A,Index!$B:$B),"")</f>
        <v>92</v>
      </c>
    </row>
    <row r="552" spans="1:6" s="1" customFormat="1" ht="12.75" customHeight="1" x14ac:dyDescent="0.25">
      <c r="A552"/>
      <c r="B552" s="26"/>
      <c r="C552" s="82" t="s">
        <v>1159</v>
      </c>
      <c r="D552" s="37">
        <v>50</v>
      </c>
      <c r="E552" s="35" t="s">
        <v>355</v>
      </c>
      <c r="F552" s="34">
        <f>IFERROR(_xlfn.XLOOKUP(E552,Index!$A:$A,Index!$B:$B),"")</f>
        <v>92</v>
      </c>
    </row>
    <row r="553" spans="1:6" s="1" customFormat="1" ht="12.75" customHeight="1" x14ac:dyDescent="0.25">
      <c r="A553"/>
      <c r="B553" s="26"/>
      <c r="C553" s="82" t="s">
        <v>231</v>
      </c>
      <c r="D553" s="37">
        <v>65</v>
      </c>
      <c r="E553" s="35" t="s">
        <v>356</v>
      </c>
      <c r="F553" s="34">
        <f>IFERROR(_xlfn.XLOOKUP(E553,Index!$A:$A,Index!$B:$B),"")</f>
        <v>108.5</v>
      </c>
    </row>
    <row r="554" spans="1:6" s="1" customFormat="1" ht="12.75" customHeight="1" x14ac:dyDescent="0.25">
      <c r="A554"/>
      <c r="B554" s="26"/>
      <c r="C554" s="82" t="s">
        <v>1166</v>
      </c>
      <c r="D554" s="37">
        <v>80</v>
      </c>
      <c r="E554" s="35" t="s">
        <v>357</v>
      </c>
      <c r="F554" s="34">
        <f>IFERROR(_xlfn.XLOOKUP(E554,Index!$A:$A,Index!$B:$B),"")</f>
        <v>125</v>
      </c>
    </row>
    <row r="555" spans="1:6" s="1" customFormat="1" ht="12.75" customHeight="1" x14ac:dyDescent="0.25">
      <c r="A555"/>
      <c r="B555" s="26"/>
      <c r="C555" s="82" t="s">
        <v>1170</v>
      </c>
      <c r="D555" s="37">
        <v>100</v>
      </c>
      <c r="E555" s="35" t="s">
        <v>358</v>
      </c>
      <c r="F555" s="34">
        <f>IFERROR(_xlfn.XLOOKUP(E555,Index!$A:$A,Index!$B:$B),"")</f>
        <v>204</v>
      </c>
    </row>
    <row r="556" spans="1:6" s="1" customFormat="1" ht="12.75" customHeight="1" x14ac:dyDescent="0.25">
      <c r="A556"/>
      <c r="B556" s="26"/>
      <c r="C556" s="82" t="s">
        <v>1174</v>
      </c>
      <c r="D556" s="37">
        <v>125</v>
      </c>
      <c r="E556" s="35" t="s">
        <v>359</v>
      </c>
      <c r="F556" s="34">
        <f>IFERROR(_xlfn.XLOOKUP(E556,Index!$A:$A,Index!$B:$B),"")</f>
        <v>316</v>
      </c>
    </row>
    <row r="557" spans="1:6" s="1" customFormat="1" ht="12.75" customHeight="1" x14ac:dyDescent="0.25">
      <c r="A557"/>
      <c r="B557" s="26"/>
      <c r="C557" s="82" t="s">
        <v>1178</v>
      </c>
      <c r="D557" s="37">
        <v>150</v>
      </c>
      <c r="E557" s="35" t="s">
        <v>360</v>
      </c>
      <c r="F557" s="34">
        <f>IFERROR(_xlfn.XLOOKUP(E557,Index!$A:$A,Index!$B:$B),"")</f>
        <v>394.5</v>
      </c>
    </row>
    <row r="558" spans="1:6" s="1" customFormat="1" ht="12.75" customHeight="1" x14ac:dyDescent="0.25">
      <c r="A558"/>
      <c r="B558" s="26"/>
      <c r="C558" s="82" t="s">
        <v>1182</v>
      </c>
      <c r="D558" s="37">
        <v>200</v>
      </c>
      <c r="E558" s="35" t="s">
        <v>361</v>
      </c>
      <c r="F558" s="34">
        <f>IFERROR(_xlfn.XLOOKUP(E558,Index!$A:$A,Index!$B:$B),"")</f>
        <v>1246</v>
      </c>
    </row>
    <row r="559" spans="1:6" s="1" customFormat="1" ht="12.75" customHeight="1" x14ac:dyDescent="0.25">
      <c r="A559"/>
      <c r="B559" s="26"/>
      <c r="C559" s="82" t="s">
        <v>1186</v>
      </c>
      <c r="D559" s="37">
        <v>250</v>
      </c>
      <c r="E559" s="35" t="s">
        <v>362</v>
      </c>
      <c r="F559" s="34">
        <f>IFERROR(_xlfn.XLOOKUP(E559,Index!$A:$A,Index!$B:$B),"")</f>
        <v>2084</v>
      </c>
    </row>
    <row r="560" spans="1:6" s="1" customFormat="1" ht="12.75" customHeight="1" x14ac:dyDescent="0.25">
      <c r="A560"/>
      <c r="B560" s="26"/>
      <c r="C560" s="82" t="s">
        <v>1190</v>
      </c>
      <c r="D560" s="37">
        <v>300</v>
      </c>
      <c r="E560" s="35" t="s">
        <v>363</v>
      </c>
      <c r="F560" s="34">
        <f>IFERROR(_xlfn.XLOOKUP(E560,Index!$A:$A,Index!$B:$B),"")</f>
        <v>6254</v>
      </c>
    </row>
    <row r="561" spans="1:10" s="1" customFormat="1" ht="12.75" customHeight="1" x14ac:dyDescent="0.25">
      <c r="A561"/>
      <c r="B561" s="26"/>
      <c r="C561" s="82" t="s">
        <v>1192</v>
      </c>
      <c r="D561" s="37">
        <v>350</v>
      </c>
      <c r="E561" s="38" t="s">
        <v>5542</v>
      </c>
      <c r="F561" s="250">
        <f t="shared" ref="F561:F565" si="4">F542</f>
        <v>3150</v>
      </c>
    </row>
    <row r="562" spans="1:10" s="1" customFormat="1" ht="12.75" customHeight="1" x14ac:dyDescent="0.25">
      <c r="A562"/>
      <c r="B562" s="26"/>
      <c r="C562" s="82" t="s">
        <v>1194</v>
      </c>
      <c r="D562" s="37">
        <v>400</v>
      </c>
      <c r="E562" s="38" t="s">
        <v>5542</v>
      </c>
      <c r="F562" s="250">
        <f t="shared" si="4"/>
        <v>4435</v>
      </c>
    </row>
    <row r="563" spans="1:10" s="1" customFormat="1" ht="12.75" customHeight="1" x14ac:dyDescent="0.25">
      <c r="A563"/>
      <c r="B563" s="26"/>
      <c r="C563" s="82" t="s">
        <v>1196</v>
      </c>
      <c r="D563" s="37">
        <v>450</v>
      </c>
      <c r="E563" s="38" t="s">
        <v>5542</v>
      </c>
      <c r="F563" s="250">
        <f t="shared" si="4"/>
        <v>6303</v>
      </c>
    </row>
    <row r="564" spans="1:10" s="1" customFormat="1" ht="12.75" customHeight="1" x14ac:dyDescent="0.25">
      <c r="A564"/>
      <c r="B564" s="26"/>
      <c r="C564" s="82" t="s">
        <v>1197</v>
      </c>
      <c r="D564" s="37">
        <v>500</v>
      </c>
      <c r="E564" s="38" t="s">
        <v>5542</v>
      </c>
      <c r="F564" s="250">
        <f t="shared" si="4"/>
        <v>7106</v>
      </c>
    </row>
    <row r="565" spans="1:10" s="1" customFormat="1" ht="12.75" customHeight="1" x14ac:dyDescent="0.25">
      <c r="A565" s="100"/>
      <c r="B565" s="27"/>
      <c r="C565" s="97" t="s">
        <v>1198</v>
      </c>
      <c r="D565" s="37">
        <v>550</v>
      </c>
      <c r="E565" s="38" t="s">
        <v>5542</v>
      </c>
      <c r="F565" s="250">
        <f t="shared" si="4"/>
        <v>8453</v>
      </c>
    </row>
    <row r="566" spans="1:10" s="1" customFormat="1" ht="12.75" customHeight="1" x14ac:dyDescent="0.25">
      <c r="A566"/>
      <c r="B566"/>
      <c r="C566"/>
      <c r="D566"/>
      <c r="E566"/>
      <c r="F566"/>
      <c r="G566"/>
      <c r="H566"/>
      <c r="I566"/>
      <c r="J566"/>
    </row>
    <row r="567" spans="1:10" s="1" customFormat="1" x14ac:dyDescent="0.25">
      <c r="A567"/>
      <c r="B567"/>
      <c r="C567"/>
      <c r="D567"/>
      <c r="E567"/>
      <c r="F567" s="88"/>
      <c r="G567"/>
      <c r="H567"/>
      <c r="I567"/>
      <c r="J567"/>
    </row>
    <row r="568" spans="1:10" s="1" customFormat="1" ht="15.75" x14ac:dyDescent="0.2">
      <c r="A568" s="62" t="s">
        <v>29</v>
      </c>
      <c r="B568" s="62" t="s">
        <v>174</v>
      </c>
      <c r="C568" s="14"/>
      <c r="D568" s="3"/>
      <c r="E568" s="8"/>
      <c r="F568" s="9"/>
      <c r="G568" s="10"/>
      <c r="H568" s="19"/>
      <c r="I568" s="19"/>
      <c r="J568" s="20"/>
    </row>
    <row r="569" spans="1:10" s="1" customFormat="1" ht="15.75" x14ac:dyDescent="0.2">
      <c r="A569" s="48" t="s">
        <v>1222</v>
      </c>
      <c r="B569" s="11"/>
      <c r="C569" s="4"/>
      <c r="D569" s="4"/>
      <c r="E569" s="5"/>
      <c r="F569" s="9"/>
      <c r="G569" s="4"/>
      <c r="H569" s="19"/>
      <c r="I569" s="19"/>
      <c r="J569" s="20"/>
    </row>
    <row r="570" spans="1:10" s="1" customFormat="1" ht="12.75" customHeight="1" x14ac:dyDescent="0.2">
      <c r="A570" s="25" t="s">
        <v>35</v>
      </c>
      <c r="B570" s="28" t="s">
        <v>36</v>
      </c>
      <c r="C570" s="29" t="s">
        <v>37</v>
      </c>
      <c r="D570" s="22"/>
      <c r="E570" s="22" t="s">
        <v>38</v>
      </c>
      <c r="F570" s="22"/>
      <c r="G570" s="23" t="s">
        <v>39</v>
      </c>
      <c r="H570" s="23"/>
      <c r="I570" s="42" t="s">
        <v>40</v>
      </c>
      <c r="J570" s="24" t="s">
        <v>41</v>
      </c>
    </row>
    <row r="571" spans="1:10" s="1" customFormat="1" ht="12.75" customHeight="1" x14ac:dyDescent="0.2">
      <c r="A571" s="32"/>
      <c r="B571" s="32"/>
      <c r="C571" s="33" t="s">
        <v>42</v>
      </c>
      <c r="D571" s="33" t="s">
        <v>43</v>
      </c>
      <c r="E571" s="33" t="s">
        <v>44</v>
      </c>
      <c r="F571" s="33" t="s">
        <v>45</v>
      </c>
      <c r="G571" s="33" t="s">
        <v>46</v>
      </c>
      <c r="H571" s="39" t="s">
        <v>47</v>
      </c>
      <c r="I571" s="33"/>
      <c r="J571" s="41"/>
    </row>
    <row r="572" spans="1:10" s="1" customFormat="1" ht="12.75" customHeight="1" x14ac:dyDescent="0.2">
      <c r="A572" s="26" t="s">
        <v>1223</v>
      </c>
      <c r="B572" s="26" t="s">
        <v>1224</v>
      </c>
      <c r="C572" s="30" t="s">
        <v>50</v>
      </c>
      <c r="D572" s="35" t="s">
        <v>176</v>
      </c>
      <c r="E572" s="82" t="s">
        <v>1143</v>
      </c>
      <c r="F572" s="37">
        <v>15</v>
      </c>
      <c r="G572" s="35">
        <v>5</v>
      </c>
      <c r="H572" s="40">
        <v>2.2999999999999998</v>
      </c>
      <c r="I572" s="38" t="s">
        <v>1225</v>
      </c>
      <c r="J572" s="34">
        <f>IFERROR(_xlfn.XLOOKUP(I572,Index!$A:$A,Index!$B:$B),"")</f>
        <v>2160</v>
      </c>
    </row>
    <row r="573" spans="1:10" s="1" customFormat="1" ht="12.75" customHeight="1" x14ac:dyDescent="0.2">
      <c r="A573" s="26"/>
      <c r="B573" s="26"/>
      <c r="C573" s="30"/>
      <c r="D573" s="35" t="s">
        <v>53</v>
      </c>
      <c r="E573" s="82" t="s">
        <v>1143</v>
      </c>
      <c r="F573" s="37">
        <v>15</v>
      </c>
      <c r="G573" s="35">
        <v>5</v>
      </c>
      <c r="H573" s="40">
        <v>2.2999999999999998</v>
      </c>
      <c r="I573" s="38" t="s">
        <v>1226</v>
      </c>
      <c r="J573" s="34">
        <f>IFERROR(_xlfn.XLOOKUP(I573,Index!$A:$A,Index!$B:$B),"")</f>
        <v>2270</v>
      </c>
    </row>
    <row r="574" spans="1:10" s="1" customFormat="1" ht="12.75" customHeight="1" x14ac:dyDescent="0.2">
      <c r="A574" s="26"/>
      <c r="B574" s="26"/>
      <c r="C574" s="30"/>
      <c r="D574" s="35" t="s">
        <v>55</v>
      </c>
      <c r="E574" s="82" t="s">
        <v>1143</v>
      </c>
      <c r="F574" s="37">
        <v>15</v>
      </c>
      <c r="G574" s="35">
        <v>5</v>
      </c>
      <c r="H574" s="40">
        <v>2.2999999999999998</v>
      </c>
      <c r="I574" s="38" t="s">
        <v>1227</v>
      </c>
      <c r="J574" s="34">
        <f>IFERROR(_xlfn.XLOOKUP(I574,Index!$A:$A,Index!$B:$B),"")</f>
        <v>2270</v>
      </c>
    </row>
    <row r="575" spans="1:10" s="1" customFormat="1" ht="12.75" customHeight="1" x14ac:dyDescent="0.2">
      <c r="A575" s="26"/>
      <c r="B575" s="26"/>
      <c r="C575" s="30"/>
      <c r="D575" s="35" t="s">
        <v>176</v>
      </c>
      <c r="E575" s="82" t="s">
        <v>217</v>
      </c>
      <c r="F575" s="37">
        <v>20</v>
      </c>
      <c r="G575" s="35">
        <v>12</v>
      </c>
      <c r="H575" s="40">
        <v>5.4</v>
      </c>
      <c r="I575" s="38" t="s">
        <v>1228</v>
      </c>
      <c r="J575" s="34">
        <f>IFERROR(_xlfn.XLOOKUP(I575,Index!$A:$A,Index!$B:$B),"")</f>
        <v>3175</v>
      </c>
    </row>
    <row r="576" spans="1:10" s="1" customFormat="1" ht="12.75" customHeight="1" x14ac:dyDescent="0.2">
      <c r="A576" s="26"/>
      <c r="B576" s="26"/>
      <c r="C576" s="30"/>
      <c r="D576" s="35" t="s">
        <v>53</v>
      </c>
      <c r="E576" s="82" t="s">
        <v>217</v>
      </c>
      <c r="F576" s="37">
        <v>20</v>
      </c>
      <c r="G576" s="35">
        <v>12</v>
      </c>
      <c r="H576" s="40">
        <v>5.4</v>
      </c>
      <c r="I576" s="38" t="s">
        <v>1229</v>
      </c>
      <c r="J576" s="34">
        <f>IFERROR(_xlfn.XLOOKUP(I576,Index!$A:$A,Index!$B:$B),"")</f>
        <v>3334</v>
      </c>
    </row>
    <row r="577" spans="1:10" s="1" customFormat="1" ht="12.75" customHeight="1" x14ac:dyDescent="0.2">
      <c r="A577" s="26"/>
      <c r="B577" s="26"/>
      <c r="C577" s="30"/>
      <c r="D577" s="35" t="s">
        <v>55</v>
      </c>
      <c r="E577" s="82" t="s">
        <v>217</v>
      </c>
      <c r="F577" s="37">
        <v>20</v>
      </c>
      <c r="G577" s="35">
        <v>12</v>
      </c>
      <c r="H577" s="40">
        <v>5.4</v>
      </c>
      <c r="I577" s="38" t="s">
        <v>1230</v>
      </c>
      <c r="J577" s="34">
        <f>IFERROR(_xlfn.XLOOKUP(I577,Index!$A:$A,Index!$B:$B),"")</f>
        <v>3334</v>
      </c>
    </row>
    <row r="578" spans="1:10" s="1" customFormat="1" ht="12.75" customHeight="1" x14ac:dyDescent="0.2">
      <c r="A578" s="26"/>
      <c r="B578" s="26"/>
      <c r="C578" s="30"/>
      <c r="D578" s="35" t="s">
        <v>176</v>
      </c>
      <c r="E578" s="82" t="s">
        <v>1150</v>
      </c>
      <c r="F578" s="37">
        <v>25</v>
      </c>
      <c r="G578" s="35">
        <v>13</v>
      </c>
      <c r="H578" s="40">
        <v>5.9</v>
      </c>
      <c r="I578" s="38" t="s">
        <v>1231</v>
      </c>
      <c r="J578" s="34">
        <f>IFERROR(_xlfn.XLOOKUP(I578,Index!$A:$A,Index!$B:$B),"")</f>
        <v>3232</v>
      </c>
    </row>
    <row r="579" spans="1:10" s="1" customFormat="1" ht="12.75" customHeight="1" x14ac:dyDescent="0.2">
      <c r="A579" s="26"/>
      <c r="B579" s="26"/>
      <c r="C579" s="30"/>
      <c r="D579" s="35" t="s">
        <v>53</v>
      </c>
      <c r="E579" s="82" t="s">
        <v>1150</v>
      </c>
      <c r="F579" s="37">
        <v>25</v>
      </c>
      <c r="G579" s="35">
        <v>13</v>
      </c>
      <c r="H579" s="40">
        <v>5.9</v>
      </c>
      <c r="I579" s="38" t="s">
        <v>1232</v>
      </c>
      <c r="J579" s="34">
        <f>IFERROR(_xlfn.XLOOKUP(I579,Index!$A:$A,Index!$B:$B),"")</f>
        <v>3394</v>
      </c>
    </row>
    <row r="580" spans="1:10" s="1" customFormat="1" ht="12.75" customHeight="1" x14ac:dyDescent="0.2">
      <c r="A580" s="26"/>
      <c r="B580" s="26"/>
      <c r="C580" s="30"/>
      <c r="D580" s="35" t="s">
        <v>55</v>
      </c>
      <c r="E580" s="82" t="s">
        <v>1150</v>
      </c>
      <c r="F580" s="37">
        <v>25</v>
      </c>
      <c r="G580" s="35">
        <v>13</v>
      </c>
      <c r="H580" s="40">
        <v>5.9</v>
      </c>
      <c r="I580" s="38" t="s">
        <v>2990</v>
      </c>
      <c r="J580" s="34">
        <f>IFERROR(_xlfn.XLOOKUP(I580,Index!$A:$A,Index!$B:$B),"")</f>
        <v>3394</v>
      </c>
    </row>
    <row r="581" spans="1:10" s="1" customFormat="1" ht="12.75" customHeight="1" x14ac:dyDescent="0.2">
      <c r="A581" s="26"/>
      <c r="B581" s="26"/>
      <c r="C581" s="30"/>
      <c r="D581" s="35" t="s">
        <v>176</v>
      </c>
      <c r="E581" s="82" t="s">
        <v>225</v>
      </c>
      <c r="F581" s="37">
        <v>40</v>
      </c>
      <c r="G581" s="35">
        <v>22</v>
      </c>
      <c r="H581" s="40">
        <v>10</v>
      </c>
      <c r="I581" s="38" t="s">
        <v>1233</v>
      </c>
      <c r="J581" s="34">
        <f>IFERROR(_xlfn.XLOOKUP(I581,Index!$A:$A,Index!$B:$B),"")</f>
        <v>2690</v>
      </c>
    </row>
    <row r="582" spans="1:10" s="1" customFormat="1" ht="12.75" customHeight="1" x14ac:dyDescent="0.2">
      <c r="A582" s="26"/>
      <c r="B582" s="26"/>
      <c r="C582" s="30"/>
      <c r="D582" s="35" t="s">
        <v>53</v>
      </c>
      <c r="E582" s="82" t="s">
        <v>225</v>
      </c>
      <c r="F582" s="37">
        <v>40</v>
      </c>
      <c r="G582" s="35">
        <v>22</v>
      </c>
      <c r="H582" s="40">
        <v>10</v>
      </c>
      <c r="I582" s="38" t="s">
        <v>1234</v>
      </c>
      <c r="J582" s="34">
        <f>IFERROR(_xlfn.XLOOKUP(I582,Index!$A:$A,Index!$B:$B),"")</f>
        <v>2823</v>
      </c>
    </row>
    <row r="583" spans="1:10" s="1" customFormat="1" ht="12.75" customHeight="1" x14ac:dyDescent="0.2">
      <c r="A583" s="26"/>
      <c r="B583" s="26"/>
      <c r="C583" s="30"/>
      <c r="D583" s="35" t="s">
        <v>55</v>
      </c>
      <c r="E583" s="82" t="s">
        <v>225</v>
      </c>
      <c r="F583" s="37">
        <v>40</v>
      </c>
      <c r="G583" s="35">
        <v>22</v>
      </c>
      <c r="H583" s="40">
        <v>10</v>
      </c>
      <c r="I583" s="38" t="s">
        <v>1235</v>
      </c>
      <c r="J583" s="34">
        <f>IFERROR(_xlfn.XLOOKUP(I583,Index!$A:$A,Index!$B:$B),"")</f>
        <v>2823</v>
      </c>
    </row>
    <row r="584" spans="1:10" s="1" customFormat="1" ht="12.75" customHeight="1" x14ac:dyDescent="0.2">
      <c r="A584" s="26"/>
      <c r="B584" s="26"/>
      <c r="C584" s="30"/>
      <c r="D584" s="35" t="s">
        <v>176</v>
      </c>
      <c r="E584" s="82" t="s">
        <v>1159</v>
      </c>
      <c r="F584" s="37">
        <v>50</v>
      </c>
      <c r="G584" s="35">
        <v>22</v>
      </c>
      <c r="H584" s="40">
        <v>10</v>
      </c>
      <c r="I584" s="38" t="s">
        <v>1236</v>
      </c>
      <c r="J584" s="34">
        <f>IFERROR(_xlfn.XLOOKUP(I584,Index!$A:$A,Index!$B:$B),"")</f>
        <v>2690</v>
      </c>
    </row>
    <row r="585" spans="1:10" s="1" customFormat="1" ht="12.75" customHeight="1" x14ac:dyDescent="0.2">
      <c r="A585" s="26"/>
      <c r="B585" s="26"/>
      <c r="C585" s="30"/>
      <c r="D585" s="35" t="s">
        <v>53</v>
      </c>
      <c r="E585" s="82" t="s">
        <v>1159</v>
      </c>
      <c r="F585" s="37">
        <v>50</v>
      </c>
      <c r="G585" s="35">
        <v>22</v>
      </c>
      <c r="H585" s="40">
        <v>10</v>
      </c>
      <c r="I585" s="38" t="s">
        <v>1237</v>
      </c>
      <c r="J585" s="34">
        <f>IFERROR(_xlfn.XLOOKUP(I585,Index!$A:$A,Index!$B:$B),"")</f>
        <v>2823</v>
      </c>
    </row>
    <row r="586" spans="1:10" s="1" customFormat="1" ht="12.75" customHeight="1" x14ac:dyDescent="0.2">
      <c r="A586" s="26"/>
      <c r="B586" s="26"/>
      <c r="C586" s="30"/>
      <c r="D586" s="35" t="s">
        <v>55</v>
      </c>
      <c r="E586" s="82" t="s">
        <v>1159</v>
      </c>
      <c r="F586" s="37">
        <v>50</v>
      </c>
      <c r="G586" s="35">
        <v>22</v>
      </c>
      <c r="H586" s="40">
        <v>10</v>
      </c>
      <c r="I586" s="38" t="s">
        <v>1238</v>
      </c>
      <c r="J586" s="34">
        <f>IFERROR(_xlfn.XLOOKUP(I586,Index!$A:$A,Index!$B:$B),"")</f>
        <v>2823</v>
      </c>
    </row>
    <row r="587" spans="1:10" s="1" customFormat="1" ht="12.75" customHeight="1" x14ac:dyDescent="0.2">
      <c r="A587" s="26"/>
      <c r="B587" s="26"/>
      <c r="C587" s="30"/>
      <c r="D587" s="35" t="s">
        <v>176</v>
      </c>
      <c r="E587" s="82" t="s">
        <v>231</v>
      </c>
      <c r="F587" s="37">
        <v>65</v>
      </c>
      <c r="G587" s="35">
        <v>35</v>
      </c>
      <c r="H587" s="40">
        <v>15.9</v>
      </c>
      <c r="I587" s="38" t="s">
        <v>1239</v>
      </c>
      <c r="J587" s="34">
        <f>IFERROR(_xlfn.XLOOKUP(I587,Index!$A:$A,Index!$B:$B),"")</f>
        <v>3486</v>
      </c>
    </row>
    <row r="588" spans="1:10" s="1" customFormat="1" ht="12.75" customHeight="1" x14ac:dyDescent="0.2">
      <c r="A588" s="26"/>
      <c r="B588" s="26"/>
      <c r="C588" s="30"/>
      <c r="D588" s="35" t="s">
        <v>53</v>
      </c>
      <c r="E588" s="82" t="s">
        <v>231</v>
      </c>
      <c r="F588" s="37">
        <v>65</v>
      </c>
      <c r="G588" s="35">
        <v>35</v>
      </c>
      <c r="H588" s="40">
        <v>15.9</v>
      </c>
      <c r="I588" s="38" t="s">
        <v>1240</v>
      </c>
      <c r="J588" s="34">
        <f>IFERROR(_xlfn.XLOOKUP(I588,Index!$A:$A,Index!$B:$B),"")</f>
        <v>3659</v>
      </c>
    </row>
    <row r="589" spans="1:10" s="1" customFormat="1" ht="12.75" customHeight="1" x14ac:dyDescent="0.2">
      <c r="A589" s="26"/>
      <c r="B589" s="26"/>
      <c r="C589" s="30"/>
      <c r="D589" s="35" t="s">
        <v>55</v>
      </c>
      <c r="E589" s="82" t="s">
        <v>231</v>
      </c>
      <c r="F589" s="37">
        <v>65</v>
      </c>
      <c r="G589" s="35">
        <v>35</v>
      </c>
      <c r="H589" s="40">
        <v>15.9</v>
      </c>
      <c r="I589" s="38" t="s">
        <v>1241</v>
      </c>
      <c r="J589" s="34">
        <f>IFERROR(_xlfn.XLOOKUP(I589,Index!$A:$A,Index!$B:$B),"")</f>
        <v>3659</v>
      </c>
    </row>
    <row r="590" spans="1:10" s="1" customFormat="1" ht="12.75" customHeight="1" x14ac:dyDescent="0.2">
      <c r="A590" s="26"/>
      <c r="B590" s="26"/>
      <c r="C590" s="30"/>
      <c r="D590" s="35" t="s">
        <v>176</v>
      </c>
      <c r="E590" s="82" t="s">
        <v>1166</v>
      </c>
      <c r="F590" s="37">
        <v>80</v>
      </c>
      <c r="G590" s="35">
        <v>49</v>
      </c>
      <c r="H590" s="40">
        <v>22</v>
      </c>
      <c r="I590" s="38" t="s">
        <v>1242</v>
      </c>
      <c r="J590" s="34">
        <f>IFERROR(_xlfn.XLOOKUP(I590,Index!$A:$A,Index!$B:$B),"")</f>
        <v>3665</v>
      </c>
    </row>
    <row r="591" spans="1:10" s="1" customFormat="1" ht="12.75" customHeight="1" x14ac:dyDescent="0.2">
      <c r="A591" s="26"/>
      <c r="B591" s="26"/>
      <c r="C591" s="30"/>
      <c r="D591" s="35" t="s">
        <v>53</v>
      </c>
      <c r="E591" s="82" t="s">
        <v>1166</v>
      </c>
      <c r="F591" s="37">
        <v>80</v>
      </c>
      <c r="G591" s="35">
        <v>49</v>
      </c>
      <c r="H591" s="40">
        <v>22</v>
      </c>
      <c r="I591" s="38" t="s">
        <v>1243</v>
      </c>
      <c r="J591" s="34">
        <f>IFERROR(_xlfn.XLOOKUP(I591,Index!$A:$A,Index!$B:$B),"")</f>
        <v>3848</v>
      </c>
    </row>
    <row r="592" spans="1:10" s="1" customFormat="1" ht="12.75" customHeight="1" x14ac:dyDescent="0.2">
      <c r="A592" s="26"/>
      <c r="B592" s="26"/>
      <c r="C592" s="30"/>
      <c r="D592" s="35" t="s">
        <v>55</v>
      </c>
      <c r="E592" s="82" t="s">
        <v>1166</v>
      </c>
      <c r="F592" s="37">
        <v>80</v>
      </c>
      <c r="G592" s="35">
        <v>49</v>
      </c>
      <c r="H592" s="40">
        <v>22</v>
      </c>
      <c r="I592" s="38" t="s">
        <v>1244</v>
      </c>
      <c r="J592" s="34">
        <f>IFERROR(_xlfn.XLOOKUP(I592,Index!$A:$A,Index!$B:$B),"")</f>
        <v>3848</v>
      </c>
    </row>
    <row r="593" spans="1:10" s="1" customFormat="1" ht="12.75" customHeight="1" x14ac:dyDescent="0.2">
      <c r="A593" s="26"/>
      <c r="B593" s="26"/>
      <c r="C593" s="30"/>
      <c r="D593" s="35" t="s">
        <v>176</v>
      </c>
      <c r="E593" s="82" t="s">
        <v>1170</v>
      </c>
      <c r="F593" s="37">
        <v>100</v>
      </c>
      <c r="G593" s="35">
        <v>84</v>
      </c>
      <c r="H593" s="40">
        <v>38</v>
      </c>
      <c r="I593" s="38" t="s">
        <v>1245</v>
      </c>
      <c r="J593" s="34">
        <f>IFERROR(_xlfn.XLOOKUP(I593,Index!$A:$A,Index!$B:$B),"")</f>
        <v>6501</v>
      </c>
    </row>
    <row r="594" spans="1:10" s="1" customFormat="1" ht="12.75" customHeight="1" x14ac:dyDescent="0.2">
      <c r="A594" s="26"/>
      <c r="B594" s="26"/>
      <c r="C594" s="30"/>
      <c r="D594" s="35" t="s">
        <v>53</v>
      </c>
      <c r="E594" s="82" t="s">
        <v>1170</v>
      </c>
      <c r="F594" s="37">
        <v>100</v>
      </c>
      <c r="G594" s="35">
        <v>84</v>
      </c>
      <c r="H594" s="40">
        <v>38</v>
      </c>
      <c r="I594" s="38" t="s">
        <v>1246</v>
      </c>
      <c r="J594" s="34">
        <f>IFERROR(_xlfn.XLOOKUP(I594,Index!$A:$A,Index!$B:$B),"")</f>
        <v>6824</v>
      </c>
    </row>
    <row r="595" spans="1:10" s="1" customFormat="1" ht="12.75" customHeight="1" x14ac:dyDescent="0.2">
      <c r="A595" s="26"/>
      <c r="B595" s="26"/>
      <c r="C595" s="30"/>
      <c r="D595" s="35" t="s">
        <v>55</v>
      </c>
      <c r="E595" s="82" t="s">
        <v>1170</v>
      </c>
      <c r="F595" s="37">
        <v>100</v>
      </c>
      <c r="G595" s="35">
        <v>84</v>
      </c>
      <c r="H595" s="40">
        <v>38</v>
      </c>
      <c r="I595" s="38" t="s">
        <v>1247</v>
      </c>
      <c r="J595" s="34">
        <f>IFERROR(_xlfn.XLOOKUP(I595,Index!$A:$A,Index!$B:$B),"")</f>
        <v>6824</v>
      </c>
    </row>
    <row r="596" spans="1:10" s="1" customFormat="1" ht="12.75" customHeight="1" x14ac:dyDescent="0.2">
      <c r="A596" s="26"/>
      <c r="B596" s="26"/>
      <c r="C596" s="30"/>
      <c r="D596" s="35" t="s">
        <v>241</v>
      </c>
      <c r="E596" s="82" t="s">
        <v>1174</v>
      </c>
      <c r="F596" s="37">
        <v>125</v>
      </c>
      <c r="G596" s="35">
        <v>114</v>
      </c>
      <c r="H596" s="40">
        <v>52</v>
      </c>
      <c r="I596" s="38" t="s">
        <v>1248</v>
      </c>
      <c r="J596" s="34">
        <f>IFERROR(_xlfn.XLOOKUP(I596,Index!$A:$A,Index!$B:$B),"")</f>
        <v>10311</v>
      </c>
    </row>
    <row r="597" spans="1:10" s="1" customFormat="1" ht="12.75" customHeight="1" x14ac:dyDescent="0.2">
      <c r="A597" s="26"/>
      <c r="B597" s="26"/>
      <c r="C597" s="30"/>
      <c r="D597" s="35" t="s">
        <v>53</v>
      </c>
      <c r="E597" s="82" t="s">
        <v>1174</v>
      </c>
      <c r="F597" s="37">
        <v>125</v>
      </c>
      <c r="G597" s="35">
        <v>114</v>
      </c>
      <c r="H597" s="40">
        <v>52</v>
      </c>
      <c r="I597" s="38" t="s">
        <v>1249</v>
      </c>
      <c r="J597" s="34">
        <f>IFERROR(_xlfn.XLOOKUP(I597,Index!$A:$A,Index!$B:$B),"")</f>
        <v>10828</v>
      </c>
    </row>
    <row r="598" spans="1:10" s="1" customFormat="1" ht="12.75" customHeight="1" x14ac:dyDescent="0.2">
      <c r="A598" s="26"/>
      <c r="B598" s="26"/>
      <c r="C598" s="30"/>
      <c r="D598" s="35" t="s">
        <v>55</v>
      </c>
      <c r="E598" s="82" t="s">
        <v>1174</v>
      </c>
      <c r="F598" s="37">
        <v>125</v>
      </c>
      <c r="G598" s="35">
        <v>114</v>
      </c>
      <c r="H598" s="40">
        <v>52</v>
      </c>
      <c r="I598" s="38" t="s">
        <v>1250</v>
      </c>
      <c r="J598" s="34">
        <f>IFERROR(_xlfn.XLOOKUP(I598,Index!$A:$A,Index!$B:$B),"")</f>
        <v>11232</v>
      </c>
    </row>
    <row r="599" spans="1:10" s="1" customFormat="1" ht="12.75" customHeight="1" x14ac:dyDescent="0.2">
      <c r="A599" s="26"/>
      <c r="B599" s="26"/>
      <c r="C599" s="30"/>
      <c r="D599" s="35" t="s">
        <v>241</v>
      </c>
      <c r="E599" s="82" t="s">
        <v>1178</v>
      </c>
      <c r="F599" s="37">
        <v>150</v>
      </c>
      <c r="G599" s="35">
        <v>169</v>
      </c>
      <c r="H599" s="40">
        <v>77</v>
      </c>
      <c r="I599" s="38" t="s">
        <v>1251</v>
      </c>
      <c r="J599" s="34">
        <f>IFERROR(_xlfn.XLOOKUP(I599,Index!$A:$A,Index!$B:$B),"")</f>
        <v>10697</v>
      </c>
    </row>
    <row r="600" spans="1:10" s="1" customFormat="1" ht="12.75" customHeight="1" x14ac:dyDescent="0.2">
      <c r="A600" s="26"/>
      <c r="B600" s="26"/>
      <c r="C600" s="30"/>
      <c r="D600" s="35" t="s">
        <v>53</v>
      </c>
      <c r="E600" s="82" t="s">
        <v>1178</v>
      </c>
      <c r="F600" s="37">
        <v>150</v>
      </c>
      <c r="G600" s="35">
        <v>169</v>
      </c>
      <c r="H600" s="40">
        <v>77</v>
      </c>
      <c r="I600" s="38" t="s">
        <v>1252</v>
      </c>
      <c r="J600" s="34">
        <f>IFERROR(_xlfn.XLOOKUP(I600,Index!$A:$A,Index!$B:$B),"")</f>
        <v>11232</v>
      </c>
    </row>
    <row r="601" spans="1:10" s="1" customFormat="1" ht="12.75" customHeight="1" x14ac:dyDescent="0.2">
      <c r="A601" s="26"/>
      <c r="B601" s="26"/>
      <c r="C601" s="30"/>
      <c r="D601" s="35" t="s">
        <v>55</v>
      </c>
      <c r="E601" s="82" t="s">
        <v>1178</v>
      </c>
      <c r="F601" s="37">
        <v>150</v>
      </c>
      <c r="G601" s="35">
        <v>169</v>
      </c>
      <c r="H601" s="40">
        <v>77</v>
      </c>
      <c r="I601" s="38" t="s">
        <v>1250</v>
      </c>
      <c r="J601" s="34">
        <f>IFERROR(_xlfn.XLOOKUP(I601,Index!$A:$A,Index!$B:$B),"")</f>
        <v>11232</v>
      </c>
    </row>
    <row r="602" spans="1:10" s="1" customFormat="1" ht="12.75" customHeight="1" x14ac:dyDescent="0.2">
      <c r="A602" s="26"/>
      <c r="B602" s="26"/>
      <c r="C602" s="30"/>
      <c r="D602" s="35" t="s">
        <v>241</v>
      </c>
      <c r="E602" s="82" t="s">
        <v>1182</v>
      </c>
      <c r="F602" s="37">
        <v>200</v>
      </c>
      <c r="G602" s="35">
        <v>280</v>
      </c>
      <c r="H602" s="40">
        <v>127</v>
      </c>
      <c r="I602" s="38" t="s">
        <v>1253</v>
      </c>
      <c r="J602" s="34">
        <f>IFERROR(_xlfn.XLOOKUP(I602,Index!$A:$A,Index!$B:$B),"")</f>
        <v>17553</v>
      </c>
    </row>
    <row r="603" spans="1:10" s="1" customFormat="1" ht="12.75" customHeight="1" x14ac:dyDescent="0.2">
      <c r="A603" s="26"/>
      <c r="B603" s="26"/>
      <c r="C603" s="30"/>
      <c r="D603" s="35" t="s">
        <v>53</v>
      </c>
      <c r="E603" s="82" t="s">
        <v>1182</v>
      </c>
      <c r="F603" s="37">
        <v>200</v>
      </c>
      <c r="G603" s="35">
        <v>280</v>
      </c>
      <c r="H603" s="40">
        <v>127</v>
      </c>
      <c r="I603" s="38" t="s">
        <v>5622</v>
      </c>
      <c r="J603" s="34">
        <f>IFERROR(_xlfn.XLOOKUP(I603,Index!$A:$A,Index!$B:$B),"")</f>
        <v>18431</v>
      </c>
    </row>
    <row r="604" spans="1:10" s="1" customFormat="1" ht="12.75" customHeight="1" x14ac:dyDescent="0.2">
      <c r="A604" s="26"/>
      <c r="B604" s="26"/>
      <c r="C604" s="30"/>
      <c r="D604" s="35" t="s">
        <v>55</v>
      </c>
      <c r="E604" s="82" t="s">
        <v>1182</v>
      </c>
      <c r="F604" s="37">
        <v>200</v>
      </c>
      <c r="G604" s="35">
        <v>280</v>
      </c>
      <c r="H604" s="40">
        <v>127</v>
      </c>
      <c r="I604" s="38" t="s">
        <v>5623</v>
      </c>
      <c r="J604" s="34">
        <f>IFERROR(_xlfn.XLOOKUP(I604,Index!$A:$A,Index!$B:$B),"")</f>
        <v>18431</v>
      </c>
    </row>
    <row r="605" spans="1:10" s="1" customFormat="1" ht="12.75" customHeight="1" x14ac:dyDescent="0.2">
      <c r="A605" s="26"/>
      <c r="B605" s="26"/>
      <c r="C605" s="30"/>
      <c r="D605" s="35" t="s">
        <v>241</v>
      </c>
      <c r="E605" s="82" t="s">
        <v>1186</v>
      </c>
      <c r="F605" s="37">
        <v>250</v>
      </c>
      <c r="G605" s="35">
        <v>425</v>
      </c>
      <c r="H605" s="40">
        <v>193</v>
      </c>
      <c r="I605" s="38" t="s">
        <v>1254</v>
      </c>
      <c r="J605" s="34">
        <f>IFERROR(_xlfn.XLOOKUP(I605,Index!$A:$A,Index!$B:$B),"")</f>
        <v>25630</v>
      </c>
    </row>
    <row r="606" spans="1:10" s="1" customFormat="1" ht="12.75" customHeight="1" x14ac:dyDescent="0.2">
      <c r="A606" s="26"/>
      <c r="B606" s="26"/>
      <c r="C606" s="30"/>
      <c r="D606" s="35" t="s">
        <v>53</v>
      </c>
      <c r="E606" s="82" t="s">
        <v>1186</v>
      </c>
      <c r="F606" s="37">
        <v>250</v>
      </c>
      <c r="G606" s="35">
        <v>425</v>
      </c>
      <c r="H606" s="40">
        <v>193</v>
      </c>
      <c r="I606" s="38" t="s">
        <v>5624</v>
      </c>
      <c r="J606" s="34">
        <f>IFERROR(_xlfn.XLOOKUP(I606,Index!$A:$A,Index!$B:$B),"")</f>
        <v>26912</v>
      </c>
    </row>
    <row r="607" spans="1:10" s="1" customFormat="1" ht="12.75" customHeight="1" x14ac:dyDescent="0.2">
      <c r="A607" s="26"/>
      <c r="B607" s="26"/>
      <c r="C607" s="30"/>
      <c r="D607" s="35" t="s">
        <v>55</v>
      </c>
      <c r="E607" s="82" t="s">
        <v>1186</v>
      </c>
      <c r="F607" s="37">
        <v>250</v>
      </c>
      <c r="G607" s="35">
        <v>425</v>
      </c>
      <c r="H607" s="40">
        <v>193</v>
      </c>
      <c r="I607" s="38" t="s">
        <v>5625</v>
      </c>
      <c r="J607" s="34">
        <f>IFERROR(_xlfn.XLOOKUP(I607,Index!$A:$A,Index!$B:$B),"")</f>
        <v>26912</v>
      </c>
    </row>
    <row r="608" spans="1:10" s="1" customFormat="1" ht="12.75" customHeight="1" x14ac:dyDescent="0.2">
      <c r="A608" s="26"/>
      <c r="B608" s="26"/>
      <c r="C608" s="30"/>
      <c r="D608" s="35" t="s">
        <v>241</v>
      </c>
      <c r="E608" s="82" t="s">
        <v>1190</v>
      </c>
      <c r="F608" s="37">
        <v>300</v>
      </c>
      <c r="G608" s="35">
        <v>656</v>
      </c>
      <c r="H608" s="40">
        <v>298</v>
      </c>
      <c r="I608" s="38" t="s">
        <v>1255</v>
      </c>
      <c r="J608" s="34">
        <f>IFERROR(_xlfn.XLOOKUP(I608,Index!$A:$A,Index!$B:$B),"")</f>
        <v>39835</v>
      </c>
    </row>
    <row r="609" spans="1:16" s="1" customFormat="1" ht="12.75" customHeight="1" x14ac:dyDescent="0.2">
      <c r="A609" s="26"/>
      <c r="B609" s="26"/>
      <c r="C609" s="30"/>
      <c r="D609" s="35" t="s">
        <v>53</v>
      </c>
      <c r="E609" s="82" t="s">
        <v>1190</v>
      </c>
      <c r="F609" s="37">
        <v>300</v>
      </c>
      <c r="G609" s="35">
        <v>656</v>
      </c>
      <c r="H609" s="40">
        <v>298</v>
      </c>
      <c r="I609" s="38" t="s">
        <v>5626</v>
      </c>
      <c r="J609" s="34">
        <f>IFERROR(_xlfn.XLOOKUP(I609,Index!$A:$A,Index!$B:$B),"")</f>
        <v>41827</v>
      </c>
    </row>
    <row r="610" spans="1:16" s="1" customFormat="1" ht="12.75" customHeight="1" x14ac:dyDescent="0.2">
      <c r="A610" s="27"/>
      <c r="B610" s="27"/>
      <c r="C610" s="31"/>
      <c r="D610" s="35" t="s">
        <v>55</v>
      </c>
      <c r="E610" s="82" t="s">
        <v>1190</v>
      </c>
      <c r="F610" s="37">
        <v>300</v>
      </c>
      <c r="G610" s="35">
        <v>656</v>
      </c>
      <c r="H610" s="40">
        <v>298</v>
      </c>
      <c r="I610" s="38" t="s">
        <v>5627</v>
      </c>
      <c r="J610" s="34">
        <f>IFERROR(_xlfn.XLOOKUP(I610,Index!$A:$A,Index!$B:$B),"")</f>
        <v>41827</v>
      </c>
    </row>
    <row r="611" spans="1:16" s="1" customFormat="1" ht="12.75" customHeight="1" x14ac:dyDescent="0.25">
      <c r="A611"/>
      <c r="B611"/>
      <c r="C611" s="88"/>
      <c r="D611"/>
      <c r="E611"/>
      <c r="F611"/>
      <c r="G611"/>
      <c r="H611"/>
      <c r="I611"/>
      <c r="J611"/>
    </row>
    <row r="612" spans="1:16" s="1" customFormat="1" ht="12.75" customHeight="1" x14ac:dyDescent="0.25">
      <c r="A612" s="18" t="s">
        <v>5837</v>
      </c>
      <c r="B612" s="63" t="s">
        <v>174</v>
      </c>
      <c r="D612" s="49"/>
      <c r="E612" s="50"/>
      <c r="F612" s="51"/>
      <c r="G612" s="52"/>
      <c r="H612" s="53"/>
      <c r="I612" s="53"/>
      <c r="J612" s="54"/>
      <c r="M612"/>
      <c r="N612"/>
      <c r="O612"/>
      <c r="P612"/>
    </row>
    <row r="613" spans="1:16" s="1" customFormat="1" ht="15.75" x14ac:dyDescent="0.25">
      <c r="A613" s="48" t="s">
        <v>5838</v>
      </c>
      <c r="B613" s="57"/>
      <c r="C613" s="58"/>
      <c r="D613" s="58"/>
      <c r="E613" s="59"/>
      <c r="F613" s="51"/>
      <c r="G613" s="58"/>
      <c r="H613" s="53"/>
      <c r="I613" s="53"/>
      <c r="J613" s="54"/>
      <c r="M613"/>
      <c r="N613"/>
      <c r="O613"/>
      <c r="P613"/>
    </row>
    <row r="614" spans="1:16" s="1" customFormat="1" x14ac:dyDescent="0.25">
      <c r="A614" s="25" t="s">
        <v>35</v>
      </c>
      <c r="B614" s="28" t="s">
        <v>36</v>
      </c>
      <c r="C614" s="333" t="s">
        <v>37</v>
      </c>
      <c r="D614" s="334"/>
      <c r="E614" s="335" t="s">
        <v>38</v>
      </c>
      <c r="F614" s="336"/>
      <c r="G614" s="335" t="s">
        <v>39</v>
      </c>
      <c r="H614" s="336"/>
      <c r="I614" s="42" t="s">
        <v>40</v>
      </c>
      <c r="J614" s="43" t="s">
        <v>41</v>
      </c>
      <c r="M614"/>
      <c r="N614"/>
      <c r="O614"/>
      <c r="P614"/>
    </row>
    <row r="615" spans="1:16" s="1" customFormat="1" ht="12.75" customHeight="1" x14ac:dyDescent="0.25">
      <c r="A615" s="32"/>
      <c r="B615" s="32"/>
      <c r="C615" s="33" t="s">
        <v>42</v>
      </c>
      <c r="D615" s="33" t="s">
        <v>43</v>
      </c>
      <c r="E615" s="33" t="s">
        <v>44</v>
      </c>
      <c r="F615" s="33" t="s">
        <v>45</v>
      </c>
      <c r="G615" s="33" t="s">
        <v>46</v>
      </c>
      <c r="H615" s="33" t="s">
        <v>47</v>
      </c>
      <c r="I615" s="33"/>
      <c r="J615" s="44"/>
      <c r="M615"/>
      <c r="N615"/>
      <c r="O615"/>
      <c r="P615"/>
    </row>
    <row r="616" spans="1:16" s="1" customFormat="1" ht="12.75" customHeight="1" x14ac:dyDescent="0.25">
      <c r="A616" s="26" t="s">
        <v>5839</v>
      </c>
      <c r="B616" s="26" t="s">
        <v>937</v>
      </c>
      <c r="C616" s="30" t="s">
        <v>50</v>
      </c>
      <c r="D616" s="35" t="s">
        <v>176</v>
      </c>
      <c r="E616" s="36">
        <v>2</v>
      </c>
      <c r="F616" s="45">
        <v>50</v>
      </c>
      <c r="G616" s="35">
        <v>16</v>
      </c>
      <c r="H616" s="38">
        <v>7.3</v>
      </c>
      <c r="I616" s="38" t="s">
        <v>5840</v>
      </c>
      <c r="J616" s="34">
        <f>IFERROR(_xlfn.XLOOKUP(I616,Index!$A:$A,Index!$B:$B),"")</f>
        <v>1934</v>
      </c>
      <c r="M616"/>
      <c r="N616"/>
      <c r="O616"/>
      <c r="P616"/>
    </row>
    <row r="617" spans="1:16" s="1" customFormat="1" ht="12.75" customHeight="1" x14ac:dyDescent="0.25">
      <c r="A617" s="26"/>
      <c r="B617" s="26"/>
      <c r="C617" s="30"/>
      <c r="D617" s="35" t="s">
        <v>176</v>
      </c>
      <c r="E617" s="64">
        <v>2.5</v>
      </c>
      <c r="F617" s="45">
        <v>65</v>
      </c>
      <c r="G617" s="35">
        <v>27</v>
      </c>
      <c r="H617" s="38">
        <v>12.2</v>
      </c>
      <c r="I617" s="38" t="s">
        <v>5841</v>
      </c>
      <c r="J617" s="34">
        <f>IFERROR(_xlfn.XLOOKUP(I617,Index!$A:$A,Index!$B:$B),"")</f>
        <v>2504</v>
      </c>
      <c r="M617"/>
      <c r="N617"/>
      <c r="O617"/>
      <c r="P617"/>
    </row>
    <row r="618" spans="1:16" s="1" customFormat="1" ht="12.75" customHeight="1" x14ac:dyDescent="0.25">
      <c r="A618" s="26"/>
      <c r="B618" s="26"/>
      <c r="C618" s="30"/>
      <c r="D618" s="35" t="s">
        <v>176</v>
      </c>
      <c r="E618" s="36">
        <v>3</v>
      </c>
      <c r="F618" s="45">
        <v>80</v>
      </c>
      <c r="G618" s="35">
        <v>30</v>
      </c>
      <c r="H618" s="38">
        <v>13.6</v>
      </c>
      <c r="I618" s="38" t="s">
        <v>5842</v>
      </c>
      <c r="J618" s="34">
        <f>IFERROR(_xlfn.XLOOKUP(I618,Index!$A:$A,Index!$B:$B),"")</f>
        <v>2632</v>
      </c>
      <c r="M618"/>
      <c r="N618"/>
      <c r="O618"/>
      <c r="P618"/>
    </row>
    <row r="619" spans="1:16" s="1" customFormat="1" ht="12.75" customHeight="1" x14ac:dyDescent="0.25">
      <c r="A619" s="26"/>
      <c r="B619" s="26"/>
      <c r="C619" s="30"/>
      <c r="D619" s="35" t="s">
        <v>176</v>
      </c>
      <c r="E619" s="36">
        <v>4</v>
      </c>
      <c r="F619" s="45">
        <v>100</v>
      </c>
      <c r="G619" s="35">
        <v>51</v>
      </c>
      <c r="H619" s="38">
        <v>23</v>
      </c>
      <c r="I619" s="38" t="s">
        <v>5843</v>
      </c>
      <c r="J619" s="34">
        <f>IFERROR(_xlfn.XLOOKUP(I619,Index!$A:$A,Index!$B:$B),"")</f>
        <v>4668</v>
      </c>
      <c r="M619"/>
      <c r="N619"/>
      <c r="O619"/>
      <c r="P619"/>
    </row>
    <row r="620" spans="1:16" s="1" customFormat="1" ht="12.75" customHeight="1" x14ac:dyDescent="0.25">
      <c r="A620" s="26"/>
      <c r="B620" s="26"/>
      <c r="C620" s="30"/>
      <c r="D620" s="35" t="s">
        <v>241</v>
      </c>
      <c r="E620" s="36">
        <v>6</v>
      </c>
      <c r="F620" s="45">
        <v>150</v>
      </c>
      <c r="G620" s="35">
        <v>109</v>
      </c>
      <c r="H620" s="38">
        <v>49.4</v>
      </c>
      <c r="I620" s="38" t="s">
        <v>5844</v>
      </c>
      <c r="J620" s="34">
        <f>IFERROR(_xlfn.XLOOKUP(I620,Index!$A:$A,Index!$B:$B),"")</f>
        <v>7680</v>
      </c>
      <c r="M620"/>
      <c r="N620"/>
      <c r="O620"/>
      <c r="P620"/>
    </row>
    <row r="621" spans="1:16" s="1" customFormat="1" ht="12.75" customHeight="1" x14ac:dyDescent="0.25">
      <c r="A621" s="27"/>
      <c r="B621" s="27"/>
      <c r="C621" s="31"/>
      <c r="D621" s="35" t="s">
        <v>241</v>
      </c>
      <c r="E621" s="36">
        <v>8</v>
      </c>
      <c r="F621" s="45">
        <v>200</v>
      </c>
      <c r="G621" s="35">
        <v>190</v>
      </c>
      <c r="H621" s="38">
        <v>86.2</v>
      </c>
      <c r="I621" s="38" t="s">
        <v>5845</v>
      </c>
      <c r="J621" s="34">
        <f>IFERROR(_xlfn.XLOOKUP(I621,Index!$A:$A,Index!$B:$B),"")</f>
        <v>12600</v>
      </c>
      <c r="M621"/>
      <c r="N621"/>
      <c r="O621"/>
      <c r="P621"/>
    </row>
    <row r="622" spans="1:16" s="1" customFormat="1" ht="12.75" customHeight="1" x14ac:dyDescent="0.25">
      <c r="A622" s="12"/>
      <c r="B622" s="12"/>
      <c r="C622" s="4"/>
      <c r="D622" s="4"/>
      <c r="E622" s="220"/>
      <c r="F622" s="81"/>
      <c r="G622" s="4"/>
      <c r="H622" s="19"/>
      <c r="I622" s="19"/>
      <c r="J622" s="84"/>
      <c r="M622"/>
      <c r="N622"/>
      <c r="O622"/>
      <c r="P622"/>
    </row>
    <row r="623" spans="1:16" s="1" customFormat="1" ht="15.75" x14ac:dyDescent="0.2">
      <c r="A623" s="62" t="s">
        <v>30</v>
      </c>
      <c r="B623" s="62" t="s">
        <v>174</v>
      </c>
      <c r="C623" s="14"/>
      <c r="D623" s="3"/>
      <c r="E623" s="8"/>
      <c r="F623" s="9"/>
      <c r="G623" s="10"/>
      <c r="H623" s="19"/>
      <c r="I623" s="19"/>
      <c r="J623" s="20"/>
    </row>
    <row r="624" spans="1:16" s="1" customFormat="1" ht="15.75" x14ac:dyDescent="0.2">
      <c r="A624" s="48" t="s">
        <v>1256</v>
      </c>
      <c r="B624" s="11"/>
      <c r="C624" s="4"/>
      <c r="D624" s="4"/>
      <c r="E624" s="5"/>
      <c r="F624" s="9"/>
      <c r="G624" s="4"/>
      <c r="H624" s="19"/>
      <c r="I624" s="19"/>
      <c r="J624" s="20"/>
    </row>
    <row r="625" spans="1:19" s="1" customFormat="1" ht="12.75" customHeight="1" x14ac:dyDescent="0.2">
      <c r="A625" s="25" t="s">
        <v>35</v>
      </c>
      <c r="B625" s="28" t="s">
        <v>36</v>
      </c>
      <c r="C625" s="29" t="s">
        <v>37</v>
      </c>
      <c r="D625" s="22"/>
      <c r="E625" s="22" t="s">
        <v>38</v>
      </c>
      <c r="F625" s="22"/>
      <c r="G625" s="23" t="s">
        <v>39</v>
      </c>
      <c r="H625" s="23"/>
      <c r="I625" s="42" t="s">
        <v>40</v>
      </c>
      <c r="J625" s="24" t="s">
        <v>41</v>
      </c>
    </row>
    <row r="626" spans="1:19" s="1" customFormat="1" ht="12.75" customHeight="1" x14ac:dyDescent="0.2">
      <c r="A626" s="32"/>
      <c r="B626" s="32"/>
      <c r="C626" s="33" t="s">
        <v>42</v>
      </c>
      <c r="D626" s="33" t="s">
        <v>43</v>
      </c>
      <c r="E626" s="33" t="s">
        <v>44</v>
      </c>
      <c r="F626" s="33" t="s">
        <v>45</v>
      </c>
      <c r="G626" s="33" t="s">
        <v>46</v>
      </c>
      <c r="H626" s="39" t="s">
        <v>47</v>
      </c>
      <c r="I626" s="33"/>
      <c r="J626" s="41"/>
      <c r="S626" s="241"/>
    </row>
    <row r="627" spans="1:19" s="1" customFormat="1" ht="12.75" customHeight="1" x14ac:dyDescent="0.2">
      <c r="A627" s="26" t="s">
        <v>1257</v>
      </c>
      <c r="B627" s="26" t="s">
        <v>1258</v>
      </c>
      <c r="C627" s="30" t="s">
        <v>50</v>
      </c>
      <c r="D627" s="35" t="s">
        <v>176</v>
      </c>
      <c r="E627" s="82" t="s">
        <v>1143</v>
      </c>
      <c r="F627" s="37">
        <v>15</v>
      </c>
      <c r="G627" s="35">
        <v>3</v>
      </c>
      <c r="H627" s="40">
        <v>1.4</v>
      </c>
      <c r="I627" s="38" t="s">
        <v>5542</v>
      </c>
      <c r="J627" s="34">
        <f>J572-152</f>
        <v>2008</v>
      </c>
      <c r="S627" s="241"/>
    </row>
    <row r="628" spans="1:19" s="1" customFormat="1" ht="12.75" customHeight="1" x14ac:dyDescent="0.2">
      <c r="A628" s="26"/>
      <c r="B628" s="26"/>
      <c r="C628" s="30"/>
      <c r="D628" s="35" t="s">
        <v>53</v>
      </c>
      <c r="E628" s="82" t="s">
        <v>1143</v>
      </c>
      <c r="F628" s="37">
        <v>15</v>
      </c>
      <c r="G628" s="35">
        <v>3</v>
      </c>
      <c r="H628" s="40">
        <v>1.4</v>
      </c>
      <c r="I628" s="38" t="s">
        <v>5542</v>
      </c>
      <c r="J628" s="34">
        <f>J627+77</f>
        <v>2085</v>
      </c>
      <c r="S628" s="241"/>
    </row>
    <row r="629" spans="1:19" s="1" customFormat="1" ht="12.75" customHeight="1" x14ac:dyDescent="0.2">
      <c r="A629" s="26"/>
      <c r="B629" s="26"/>
      <c r="C629" s="30"/>
      <c r="D629" s="35" t="s">
        <v>55</v>
      </c>
      <c r="E629" s="82" t="s">
        <v>1143</v>
      </c>
      <c r="F629" s="37">
        <v>15</v>
      </c>
      <c r="G629" s="35">
        <v>3</v>
      </c>
      <c r="H629" s="40">
        <v>1.4</v>
      </c>
      <c r="I629" s="38" t="s">
        <v>5542</v>
      </c>
      <c r="J629" s="34">
        <f>J628</f>
        <v>2085</v>
      </c>
      <c r="S629" s="241"/>
    </row>
    <row r="630" spans="1:19" s="1" customFormat="1" ht="12.75" customHeight="1" x14ac:dyDescent="0.2">
      <c r="A630" s="26"/>
      <c r="B630" s="26"/>
      <c r="C630" s="30"/>
      <c r="D630" s="35" t="s">
        <v>176</v>
      </c>
      <c r="E630" s="82" t="s">
        <v>217</v>
      </c>
      <c r="F630" s="37">
        <v>20</v>
      </c>
      <c r="G630" s="35">
        <v>9</v>
      </c>
      <c r="H630" s="40">
        <v>4.0999999999999996</v>
      </c>
      <c r="I630" s="38" t="s">
        <v>1259</v>
      </c>
      <c r="J630" s="34">
        <f>IFERROR(_xlfn.XLOOKUP(I630,Index!$A:$A,Index!$B:$B),"")</f>
        <v>2947</v>
      </c>
      <c r="S630" s="241"/>
    </row>
    <row r="631" spans="1:19" s="1" customFormat="1" ht="12.75" customHeight="1" x14ac:dyDescent="0.2">
      <c r="A631" s="26"/>
      <c r="B631" s="26"/>
      <c r="C631" s="30"/>
      <c r="D631" s="35" t="s">
        <v>53</v>
      </c>
      <c r="E631" s="82" t="s">
        <v>217</v>
      </c>
      <c r="F631" s="37">
        <v>20</v>
      </c>
      <c r="G631" s="35">
        <v>9</v>
      </c>
      <c r="H631" s="40">
        <v>4.0999999999999996</v>
      </c>
      <c r="I631" s="38" t="s">
        <v>5628</v>
      </c>
      <c r="J631" s="34">
        <f>IFERROR(_xlfn.XLOOKUP(I631,Index!$A:$A,Index!$B:$B),"")</f>
        <v>3095</v>
      </c>
      <c r="S631" s="241"/>
    </row>
    <row r="632" spans="1:19" s="1" customFormat="1" ht="12.75" customHeight="1" x14ac:dyDescent="0.2">
      <c r="A632" s="26"/>
      <c r="B632" s="26"/>
      <c r="C632" s="30"/>
      <c r="D632" s="35" t="s">
        <v>55</v>
      </c>
      <c r="E632" s="82" t="s">
        <v>217</v>
      </c>
      <c r="F632" s="37">
        <v>20</v>
      </c>
      <c r="G632" s="35">
        <v>9</v>
      </c>
      <c r="H632" s="40">
        <v>4.0999999999999996</v>
      </c>
      <c r="I632" s="38" t="s">
        <v>5629</v>
      </c>
      <c r="J632" s="34">
        <f>IFERROR(_xlfn.XLOOKUP(I632,Index!$A:$A,Index!$B:$B),"")</f>
        <v>3095</v>
      </c>
      <c r="S632" s="241"/>
    </row>
    <row r="633" spans="1:19" s="1" customFormat="1" ht="12.75" customHeight="1" x14ac:dyDescent="0.2">
      <c r="A633" s="26"/>
      <c r="B633" s="26"/>
      <c r="C633" s="30"/>
      <c r="D633" s="35" t="s">
        <v>176</v>
      </c>
      <c r="E633" s="82" t="s">
        <v>1150</v>
      </c>
      <c r="F633" s="37">
        <v>25</v>
      </c>
      <c r="G633" s="35">
        <v>9</v>
      </c>
      <c r="H633" s="40">
        <v>4.0999999999999996</v>
      </c>
      <c r="I633" s="38" t="s">
        <v>1260</v>
      </c>
      <c r="J633" s="34">
        <f>IFERROR(_xlfn.XLOOKUP(I633,Index!$A:$A,Index!$B:$B),"")</f>
        <v>3230</v>
      </c>
      <c r="S633" s="241"/>
    </row>
    <row r="634" spans="1:19" s="1" customFormat="1" ht="12.75" customHeight="1" x14ac:dyDescent="0.2">
      <c r="A634" s="26"/>
      <c r="B634" s="26"/>
      <c r="C634" s="30"/>
      <c r="D634" s="35" t="s">
        <v>53</v>
      </c>
      <c r="E634" s="82" t="s">
        <v>1150</v>
      </c>
      <c r="F634" s="37">
        <v>25</v>
      </c>
      <c r="G634" s="35">
        <v>9</v>
      </c>
      <c r="H634" s="40">
        <v>4.0999999999999996</v>
      </c>
      <c r="I634" s="38" t="s">
        <v>5630</v>
      </c>
      <c r="J634" s="34">
        <f>IFERROR(_xlfn.XLOOKUP(I634,Index!$A:$A,Index!$B:$B),"")</f>
        <v>3393</v>
      </c>
      <c r="S634" s="241"/>
    </row>
    <row r="635" spans="1:19" s="1" customFormat="1" ht="12.75" customHeight="1" x14ac:dyDescent="0.2">
      <c r="A635" s="26"/>
      <c r="B635" s="26"/>
      <c r="C635" s="30"/>
      <c r="D635" s="35" t="s">
        <v>55</v>
      </c>
      <c r="E635" s="82" t="s">
        <v>1150</v>
      </c>
      <c r="F635" s="37">
        <v>25</v>
      </c>
      <c r="G635" s="35">
        <v>9</v>
      </c>
      <c r="H635" s="40">
        <v>4.0999999999999996</v>
      </c>
      <c r="I635" s="38" t="s">
        <v>1261</v>
      </c>
      <c r="J635" s="34">
        <f>IFERROR(_xlfn.XLOOKUP(I635,Index!$A:$A,Index!$B:$B),"")</f>
        <v>3393</v>
      </c>
      <c r="S635" s="241"/>
    </row>
    <row r="636" spans="1:19" s="1" customFormat="1" ht="12.75" customHeight="1" x14ac:dyDescent="0.2">
      <c r="A636" s="26"/>
      <c r="B636" s="26"/>
      <c r="C636" s="30"/>
      <c r="D636" s="35" t="s">
        <v>176</v>
      </c>
      <c r="E636" s="82" t="s">
        <v>225</v>
      </c>
      <c r="F636" s="37">
        <v>40</v>
      </c>
      <c r="G636" s="35">
        <v>13</v>
      </c>
      <c r="H636" s="40">
        <v>5.9</v>
      </c>
      <c r="I636" s="38" t="s">
        <v>1262</v>
      </c>
      <c r="J636" s="34">
        <f>IFERROR(_xlfn.XLOOKUP(I636,Index!$A:$A,Index!$B:$B),"")</f>
        <v>2686</v>
      </c>
      <c r="S636" s="241"/>
    </row>
    <row r="637" spans="1:19" s="1" customFormat="1" ht="12.75" customHeight="1" x14ac:dyDescent="0.2">
      <c r="A637" s="26"/>
      <c r="B637" s="26"/>
      <c r="C637" s="30"/>
      <c r="D637" s="35" t="s">
        <v>53</v>
      </c>
      <c r="E637" s="82" t="s">
        <v>225</v>
      </c>
      <c r="F637" s="37">
        <v>40</v>
      </c>
      <c r="G637" s="35">
        <v>13</v>
      </c>
      <c r="H637" s="40">
        <v>5.9</v>
      </c>
      <c r="I637" s="38" t="s">
        <v>5631</v>
      </c>
      <c r="J637" s="34">
        <f>IFERROR(_xlfn.XLOOKUP(I637,Index!$A:$A,Index!$B:$B),"")</f>
        <v>2820</v>
      </c>
      <c r="S637" s="241"/>
    </row>
    <row r="638" spans="1:19" s="1" customFormat="1" ht="12.75" customHeight="1" x14ac:dyDescent="0.2">
      <c r="A638" s="26"/>
      <c r="B638" s="26"/>
      <c r="C638" s="30"/>
      <c r="D638" s="35" t="s">
        <v>55</v>
      </c>
      <c r="E638" s="82" t="s">
        <v>225</v>
      </c>
      <c r="F638" s="37">
        <v>40</v>
      </c>
      <c r="G638" s="35">
        <v>13</v>
      </c>
      <c r="H638" s="40">
        <v>5.9</v>
      </c>
      <c r="I638" s="38" t="s">
        <v>5632</v>
      </c>
      <c r="J638" s="34">
        <f>IFERROR(_xlfn.XLOOKUP(I638,Index!$A:$A,Index!$B:$B),"")</f>
        <v>2820</v>
      </c>
      <c r="S638" s="241"/>
    </row>
    <row r="639" spans="1:19" s="1" customFormat="1" ht="12.75" customHeight="1" x14ac:dyDescent="0.2">
      <c r="A639" s="26"/>
      <c r="B639" s="26"/>
      <c r="C639" s="30"/>
      <c r="D639" s="35" t="s">
        <v>176</v>
      </c>
      <c r="E639" s="82" t="s">
        <v>1159</v>
      </c>
      <c r="F639" s="37">
        <v>50</v>
      </c>
      <c r="G639" s="35">
        <v>10</v>
      </c>
      <c r="H639" s="40">
        <v>4.5</v>
      </c>
      <c r="I639" s="38" t="s">
        <v>1263</v>
      </c>
      <c r="J639" s="34">
        <f>IFERROR(_xlfn.XLOOKUP(I639,Index!$A:$A,Index!$B:$B),"")</f>
        <v>2495</v>
      </c>
    </row>
    <row r="640" spans="1:19" s="1" customFormat="1" ht="12.75" customHeight="1" x14ac:dyDescent="0.2">
      <c r="A640" s="26"/>
      <c r="B640" s="26"/>
      <c r="C640" s="30"/>
      <c r="D640" s="35" t="s">
        <v>53</v>
      </c>
      <c r="E640" s="82" t="s">
        <v>1159</v>
      </c>
      <c r="F640" s="37">
        <v>50</v>
      </c>
      <c r="G640" s="35">
        <v>10</v>
      </c>
      <c r="H640" s="40">
        <v>4.5</v>
      </c>
      <c r="I640" s="38" t="s">
        <v>5633</v>
      </c>
      <c r="J640" s="34">
        <f>IFERROR(_xlfn.XLOOKUP(I640,Index!$A:$A,Index!$B:$B),"")</f>
        <v>2618</v>
      </c>
    </row>
    <row r="641" spans="1:10" s="1" customFormat="1" ht="12.75" customHeight="1" x14ac:dyDescent="0.2">
      <c r="A641" s="26"/>
      <c r="B641" s="26"/>
      <c r="C641" s="30"/>
      <c r="D641" s="35" t="s">
        <v>55</v>
      </c>
      <c r="E641" s="82" t="s">
        <v>1159</v>
      </c>
      <c r="F641" s="37">
        <v>50</v>
      </c>
      <c r="G641" s="35">
        <v>10</v>
      </c>
      <c r="H641" s="40">
        <v>4.5</v>
      </c>
      <c r="I641" s="38" t="s">
        <v>5634</v>
      </c>
      <c r="J641" s="34">
        <f>IFERROR(_xlfn.XLOOKUP(I641,Index!$A:$A,Index!$B:$B),"")</f>
        <v>2618</v>
      </c>
    </row>
    <row r="642" spans="1:10" s="1" customFormat="1" ht="12.75" customHeight="1" x14ac:dyDescent="0.2">
      <c r="A642" s="26"/>
      <c r="B642" s="26"/>
      <c r="C642" s="30"/>
      <c r="D642" s="35" t="s">
        <v>176</v>
      </c>
      <c r="E642" s="82" t="s">
        <v>231</v>
      </c>
      <c r="F642" s="37">
        <v>65</v>
      </c>
      <c r="G642" s="35">
        <v>14</v>
      </c>
      <c r="H642" s="40">
        <v>6.4</v>
      </c>
      <c r="I642" s="38" t="s">
        <v>5542</v>
      </c>
      <c r="J642" s="34">
        <f>J645-351</f>
        <v>3456</v>
      </c>
    </row>
    <row r="643" spans="1:10" s="1" customFormat="1" ht="12.75" customHeight="1" x14ac:dyDescent="0.2">
      <c r="A643" s="26"/>
      <c r="B643" s="26"/>
      <c r="C643" s="30"/>
      <c r="D643" s="35" t="s">
        <v>53</v>
      </c>
      <c r="E643" s="82" t="s">
        <v>231</v>
      </c>
      <c r="F643" s="37">
        <v>65</v>
      </c>
      <c r="G643" s="35">
        <v>14</v>
      </c>
      <c r="H643" s="40">
        <v>6.4</v>
      </c>
      <c r="I643" s="38" t="s">
        <v>5542</v>
      </c>
      <c r="J643" s="34">
        <f>J642*1.05</f>
        <v>3628.8</v>
      </c>
    </row>
    <row r="644" spans="1:10" s="1" customFormat="1" ht="12.75" customHeight="1" x14ac:dyDescent="0.2">
      <c r="A644" s="26"/>
      <c r="B644" s="26"/>
      <c r="C644" s="30"/>
      <c r="D644" s="35" t="s">
        <v>55</v>
      </c>
      <c r="E644" s="82" t="s">
        <v>231</v>
      </c>
      <c r="F644" s="37">
        <v>65</v>
      </c>
      <c r="G644" s="35">
        <v>14</v>
      </c>
      <c r="H644" s="40">
        <v>6.4</v>
      </c>
      <c r="I644" s="38" t="s">
        <v>5542</v>
      </c>
      <c r="J644" s="34">
        <f>J643</f>
        <v>3628.8</v>
      </c>
    </row>
    <row r="645" spans="1:10" s="1" customFormat="1" ht="12.75" customHeight="1" x14ac:dyDescent="0.2">
      <c r="A645" s="26"/>
      <c r="B645" s="26"/>
      <c r="C645" s="30"/>
      <c r="D645" s="35" t="s">
        <v>176</v>
      </c>
      <c r="E645" s="82" t="s">
        <v>1166</v>
      </c>
      <c r="F645" s="37">
        <v>80</v>
      </c>
      <c r="G645" s="35">
        <v>21</v>
      </c>
      <c r="H645" s="40">
        <v>9.5</v>
      </c>
      <c r="I645" s="38" t="s">
        <v>1264</v>
      </c>
      <c r="J645" s="34">
        <f>IFERROR(_xlfn.XLOOKUP(I645,Index!$A:$A,Index!$B:$B),"")</f>
        <v>3807</v>
      </c>
    </row>
    <row r="646" spans="1:10" s="1" customFormat="1" ht="12.75" customHeight="1" x14ac:dyDescent="0.2">
      <c r="A646" s="26"/>
      <c r="B646" s="26"/>
      <c r="C646" s="30"/>
      <c r="D646" s="35" t="s">
        <v>53</v>
      </c>
      <c r="E646" s="82" t="s">
        <v>1166</v>
      </c>
      <c r="F646" s="37">
        <v>80</v>
      </c>
      <c r="G646" s="35">
        <v>21</v>
      </c>
      <c r="H646" s="40">
        <v>9.5</v>
      </c>
      <c r="I646" s="38" t="s">
        <v>1265</v>
      </c>
      <c r="J646" s="34">
        <f>IFERROR(_xlfn.XLOOKUP(I646,Index!$A:$A,Index!$B:$B),"")</f>
        <v>3996</v>
      </c>
    </row>
    <row r="647" spans="1:10" s="1" customFormat="1" ht="12.75" customHeight="1" x14ac:dyDescent="0.2">
      <c r="A647" s="26"/>
      <c r="B647" s="26"/>
      <c r="C647" s="30"/>
      <c r="D647" s="35" t="s">
        <v>55</v>
      </c>
      <c r="E647" s="82" t="s">
        <v>1166</v>
      </c>
      <c r="F647" s="37">
        <v>80</v>
      </c>
      <c r="G647" s="35">
        <v>21</v>
      </c>
      <c r="H647" s="40">
        <v>9.5</v>
      </c>
      <c r="I647" s="38" t="s">
        <v>5635</v>
      </c>
      <c r="J647" s="34">
        <f>IFERROR(_xlfn.XLOOKUP(I647,Index!$A:$A,Index!$B:$B),"")</f>
        <v>3996</v>
      </c>
    </row>
    <row r="648" spans="1:10" s="1" customFormat="1" ht="12.75" customHeight="1" x14ac:dyDescent="0.2">
      <c r="A648" s="26"/>
      <c r="B648" s="26"/>
      <c r="C648" s="30"/>
      <c r="D648" s="35" t="s">
        <v>176</v>
      </c>
      <c r="E648" s="82" t="s">
        <v>1170</v>
      </c>
      <c r="F648" s="37">
        <v>100</v>
      </c>
      <c r="G648" s="35">
        <v>42</v>
      </c>
      <c r="H648" s="40">
        <v>19.100000000000001</v>
      </c>
      <c r="I648" s="38" t="s">
        <v>1266</v>
      </c>
      <c r="J648" s="34">
        <f>IFERROR(_xlfn.XLOOKUP(I648,Index!$A:$A,Index!$B:$B),"")</f>
        <v>6746</v>
      </c>
    </row>
    <row r="649" spans="1:10" s="1" customFormat="1" ht="12.75" customHeight="1" x14ac:dyDescent="0.2">
      <c r="A649" s="26"/>
      <c r="B649" s="26"/>
      <c r="C649" s="30"/>
      <c r="D649" s="35" t="s">
        <v>53</v>
      </c>
      <c r="E649" s="82" t="s">
        <v>1170</v>
      </c>
      <c r="F649" s="37">
        <v>100</v>
      </c>
      <c r="G649" s="35">
        <v>42</v>
      </c>
      <c r="H649" s="40">
        <v>19.100000000000001</v>
      </c>
      <c r="I649" s="38" t="s">
        <v>5636</v>
      </c>
      <c r="J649" s="34">
        <f>IFERROR(_xlfn.XLOOKUP(I649,Index!$A:$A,Index!$B:$B),"")</f>
        <v>7083</v>
      </c>
    </row>
    <row r="650" spans="1:10" s="1" customFormat="1" ht="12.75" customHeight="1" x14ac:dyDescent="0.2">
      <c r="A650" s="27"/>
      <c r="B650" s="27"/>
      <c r="C650" s="31"/>
      <c r="D650" s="35" t="s">
        <v>55</v>
      </c>
      <c r="E650" s="82" t="s">
        <v>1170</v>
      </c>
      <c r="F650" s="37">
        <v>100</v>
      </c>
      <c r="G650" s="35">
        <v>42</v>
      </c>
      <c r="H650" s="40">
        <v>19.100000000000001</v>
      </c>
      <c r="I650" s="38" t="s">
        <v>5637</v>
      </c>
      <c r="J650" s="34">
        <f>IFERROR(_xlfn.XLOOKUP(I650,Index!$A:$A,Index!$B:$B),"")</f>
        <v>7083</v>
      </c>
    </row>
    <row r="651" spans="1:10" s="1" customFormat="1" ht="12.75" customHeight="1" x14ac:dyDescent="0.25">
      <c r="A651"/>
      <c r="B651"/>
      <c r="C651"/>
      <c r="D651"/>
      <c r="E651"/>
      <c r="F651" s="88"/>
      <c r="G651"/>
      <c r="H651"/>
      <c r="I651"/>
      <c r="J651"/>
    </row>
    <row r="652" spans="1:10" s="1" customFormat="1" ht="12.75" customHeight="1" x14ac:dyDescent="0.25">
      <c r="A652"/>
      <c r="B652"/>
      <c r="C652"/>
      <c r="D652"/>
      <c r="E652"/>
      <c r="F652" s="88"/>
      <c r="G652"/>
      <c r="H652"/>
      <c r="I652"/>
      <c r="J652"/>
    </row>
    <row r="653" spans="1:10" s="1" customFormat="1" ht="12.75" customHeight="1" x14ac:dyDescent="0.25">
      <c r="A653"/>
      <c r="B653"/>
      <c r="C653"/>
      <c r="D653"/>
      <c r="E653"/>
      <c r="F653" s="88"/>
      <c r="G653"/>
      <c r="H653"/>
      <c r="I653"/>
      <c r="J653"/>
    </row>
    <row r="654" spans="1:10" s="1" customFormat="1" ht="15.75" x14ac:dyDescent="0.25">
      <c r="A654" s="68" t="s">
        <v>1267</v>
      </c>
      <c r="B654" s="18"/>
      <c r="C654" s="231"/>
      <c r="D654" s="49"/>
      <c r="E654" s="50"/>
      <c r="F654" s="101"/>
      <c r="G654"/>
      <c r="H654"/>
      <c r="I654"/>
      <c r="J654"/>
    </row>
    <row r="655" spans="1:10" s="1" customFormat="1" ht="15.75" x14ac:dyDescent="0.25">
      <c r="A655" s="48" t="s">
        <v>102</v>
      </c>
      <c r="B655" s="57"/>
      <c r="C655" s="58"/>
      <c r="D655" s="58"/>
      <c r="E655" s="59"/>
      <c r="F655" s="101"/>
      <c r="G655"/>
      <c r="H655"/>
      <c r="I655"/>
      <c r="J655"/>
    </row>
    <row r="656" spans="1:10" s="1" customFormat="1" ht="12.75" customHeight="1" x14ac:dyDescent="0.2">
      <c r="A656" s="102" t="s">
        <v>35</v>
      </c>
      <c r="B656" s="28" t="s">
        <v>103</v>
      </c>
      <c r="C656" s="335" t="s">
        <v>38</v>
      </c>
      <c r="D656" s="335"/>
      <c r="E656" s="42" t="s">
        <v>40</v>
      </c>
      <c r="F656" s="43" t="s">
        <v>41</v>
      </c>
    </row>
    <row r="657" spans="1:13" s="1" customFormat="1" ht="12.75" customHeight="1" x14ac:dyDescent="0.2">
      <c r="A657" s="103"/>
      <c r="B657" s="32"/>
      <c r="C657" s="104" t="s">
        <v>44</v>
      </c>
      <c r="D657" s="104" t="s">
        <v>45</v>
      </c>
      <c r="E657" s="104"/>
      <c r="F657" s="105"/>
    </row>
    <row r="658" spans="1:13" s="1" customFormat="1" ht="12" x14ac:dyDescent="0.2">
      <c r="A658" s="232" t="s">
        <v>1268</v>
      </c>
      <c r="B658" s="233" t="s">
        <v>104</v>
      </c>
      <c r="C658" s="82" t="s">
        <v>1143</v>
      </c>
      <c r="D658" s="234">
        <v>15</v>
      </c>
      <c r="E658" s="36" t="s">
        <v>203</v>
      </c>
      <c r="F658" s="34">
        <f>IFERROR(_xlfn.XLOOKUP(E658,Index!$A:$A,Index!$B:$B),"")</f>
        <v>5.75</v>
      </c>
    </row>
    <row r="659" spans="1:13" s="1" customFormat="1" ht="12.75" customHeight="1" x14ac:dyDescent="0.2">
      <c r="A659" s="66"/>
      <c r="B659" s="66"/>
      <c r="C659" s="82" t="s">
        <v>217</v>
      </c>
      <c r="D659" s="98">
        <v>20</v>
      </c>
      <c r="E659" s="35" t="s">
        <v>206</v>
      </c>
      <c r="F659" s="34">
        <f>IFERROR(_xlfn.XLOOKUP(E659,Index!$A:$A,Index!$B:$B),"")</f>
        <v>8.5</v>
      </c>
    </row>
    <row r="660" spans="1:13" s="1" customFormat="1" ht="12.75" customHeight="1" x14ac:dyDescent="0.2">
      <c r="A660" s="66"/>
      <c r="B660" s="66"/>
      <c r="C660" s="82" t="s">
        <v>1150</v>
      </c>
      <c r="D660" s="98">
        <v>25</v>
      </c>
      <c r="E660" s="35" t="s">
        <v>206</v>
      </c>
      <c r="F660" s="34">
        <f>IFERROR(_xlfn.XLOOKUP(E660,Index!$A:$A,Index!$B:$B),"")</f>
        <v>8.5</v>
      </c>
    </row>
    <row r="661" spans="1:13" s="1" customFormat="1" ht="12.75" customHeight="1" x14ac:dyDescent="0.2">
      <c r="A661" s="66"/>
      <c r="B661" s="66"/>
      <c r="C661" s="82" t="s">
        <v>223</v>
      </c>
      <c r="D661" s="98">
        <v>32</v>
      </c>
      <c r="E661" s="38" t="s">
        <v>178</v>
      </c>
      <c r="F661" s="38" t="s">
        <v>178</v>
      </c>
    </row>
    <row r="662" spans="1:13" s="1" customFormat="1" ht="12.75" customHeight="1" x14ac:dyDescent="0.2">
      <c r="A662" s="66"/>
      <c r="B662" s="66"/>
      <c r="C662" s="82" t="s">
        <v>225</v>
      </c>
      <c r="D662" s="98">
        <v>40</v>
      </c>
      <c r="E662" s="35" t="s">
        <v>1218</v>
      </c>
      <c r="F662" s="34">
        <f>IFERROR(_xlfn.XLOOKUP(E662,Index!$A:$A,Index!$B:$B),"")</f>
        <v>10.75</v>
      </c>
    </row>
    <row r="663" spans="1:13" s="1" customFormat="1" ht="12.75" customHeight="1" x14ac:dyDescent="0.2">
      <c r="A663" s="66"/>
      <c r="B663" s="66"/>
      <c r="C663" s="82" t="s">
        <v>1159</v>
      </c>
      <c r="D663" s="98">
        <v>50</v>
      </c>
      <c r="E663" s="35" t="s">
        <v>1008</v>
      </c>
      <c r="F663" s="34">
        <f>IFERROR(_xlfn.XLOOKUP(E663,Index!$A:$A,Index!$B:$B),"")</f>
        <v>9.75</v>
      </c>
    </row>
    <row r="664" spans="1:13" x14ac:dyDescent="0.25">
      <c r="A664" s="66"/>
      <c r="B664" s="66"/>
      <c r="C664" s="82" t="s">
        <v>231</v>
      </c>
      <c r="D664" s="98">
        <v>65</v>
      </c>
      <c r="E664" s="35" t="s">
        <v>1009</v>
      </c>
      <c r="F664" s="34">
        <f>IFERROR(_xlfn.XLOOKUP(E664,Index!$A:$A,Index!$B:$B),"")</f>
        <v>12.25</v>
      </c>
      <c r="G664" s="1"/>
      <c r="H664" s="1"/>
      <c r="I664" s="1"/>
      <c r="J664" s="1"/>
      <c r="K664" s="1"/>
      <c r="L664" s="1"/>
      <c r="M664" s="1"/>
    </row>
    <row r="665" spans="1:13" s="1" customFormat="1" ht="12" x14ac:dyDescent="0.2">
      <c r="A665" s="66"/>
      <c r="B665" s="66"/>
      <c r="C665" s="82" t="s">
        <v>1166</v>
      </c>
      <c r="D665" s="98">
        <v>80</v>
      </c>
      <c r="E665" s="35" t="s">
        <v>209</v>
      </c>
      <c r="F665" s="34">
        <f>IFERROR(_xlfn.XLOOKUP(E665,Index!$A:$A,Index!$B:$B),"")</f>
        <v>12.25</v>
      </c>
    </row>
    <row r="666" spans="1:13" s="1" customFormat="1" ht="12" x14ac:dyDescent="0.2">
      <c r="A666" s="66"/>
      <c r="B666" s="66"/>
      <c r="C666" s="82" t="s">
        <v>1170</v>
      </c>
      <c r="D666" s="98">
        <v>100</v>
      </c>
      <c r="E666" s="35" t="s">
        <v>1010</v>
      </c>
      <c r="F666" s="34">
        <f>IFERROR(_xlfn.XLOOKUP(E666,Index!$A:$A,Index!$B:$B),"")</f>
        <v>12.25</v>
      </c>
    </row>
    <row r="667" spans="1:13" s="1" customFormat="1" ht="12" x14ac:dyDescent="0.2">
      <c r="A667" s="66"/>
      <c r="B667" s="66"/>
      <c r="C667" s="82" t="s">
        <v>1174</v>
      </c>
      <c r="D667" s="98">
        <v>125</v>
      </c>
      <c r="E667" s="35" t="s">
        <v>1011</v>
      </c>
      <c r="F667" s="34">
        <f>IFERROR(_xlfn.XLOOKUP(E667,Index!$A:$A,Index!$B:$B),"")</f>
        <v>16.5</v>
      </c>
    </row>
    <row r="668" spans="1:13" s="1" customFormat="1" ht="12" x14ac:dyDescent="0.2">
      <c r="A668" s="66"/>
      <c r="B668" s="66"/>
      <c r="C668" s="82" t="s">
        <v>1178</v>
      </c>
      <c r="D668" s="98">
        <v>150</v>
      </c>
      <c r="E668" s="35" t="s">
        <v>1220</v>
      </c>
      <c r="F668" s="34">
        <f>IFERROR(_xlfn.XLOOKUP(E668,Index!$A:$A,Index!$B:$B),"")</f>
        <v>16.5</v>
      </c>
    </row>
    <row r="669" spans="1:13" s="1" customFormat="1" ht="12" x14ac:dyDescent="0.2">
      <c r="A669" s="66"/>
      <c r="B669" s="66"/>
      <c r="C669" s="82" t="s">
        <v>1182</v>
      </c>
      <c r="D669" s="98">
        <v>200</v>
      </c>
      <c r="E669" s="35" t="s">
        <v>1012</v>
      </c>
      <c r="F669" s="34">
        <f>IFERROR(_xlfn.XLOOKUP(E669,Index!$A:$A,Index!$B:$B),"")</f>
        <v>132</v>
      </c>
    </row>
    <row r="670" spans="1:13" s="1" customFormat="1" ht="12" x14ac:dyDescent="0.2">
      <c r="A670" s="66"/>
      <c r="B670" s="66"/>
      <c r="C670" s="82" t="s">
        <v>1186</v>
      </c>
      <c r="D670" s="98">
        <v>250</v>
      </c>
      <c r="E670" s="35" t="s">
        <v>1013</v>
      </c>
      <c r="F670" s="34">
        <f>IFERROR(_xlfn.XLOOKUP(E670,Index!$A:$A,Index!$B:$B),"")</f>
        <v>24</v>
      </c>
    </row>
    <row r="671" spans="1:13" s="1" customFormat="1" ht="12" x14ac:dyDescent="0.2">
      <c r="A671" s="66"/>
      <c r="B671" s="66"/>
      <c r="C671" s="82" t="s">
        <v>1190</v>
      </c>
      <c r="D671" s="98">
        <v>300</v>
      </c>
      <c r="E671" s="35" t="s">
        <v>1014</v>
      </c>
      <c r="F671" s="34">
        <f>IFERROR(_xlfn.XLOOKUP(E671,Index!$A:$A,Index!$B:$B),"")</f>
        <v>24</v>
      </c>
    </row>
    <row r="672" spans="1:13" s="1" customFormat="1" ht="12" x14ac:dyDescent="0.2">
      <c r="A672" s="26"/>
      <c r="B672" s="60" t="s">
        <v>210</v>
      </c>
      <c r="C672" s="82" t="s">
        <v>1143</v>
      </c>
      <c r="D672" s="98">
        <v>15</v>
      </c>
      <c r="E672" s="35" t="s">
        <v>927</v>
      </c>
      <c r="F672" s="34">
        <f>IFERROR(_xlfn.XLOOKUP(E672,Index!$A:$A,Index!$B:$B),"")</f>
        <v>63.5</v>
      </c>
    </row>
    <row r="673" spans="1:6" s="1" customFormat="1" ht="12" x14ac:dyDescent="0.2">
      <c r="A673" s="26"/>
      <c r="B673" s="26"/>
      <c r="C673" s="106" t="s">
        <v>217</v>
      </c>
      <c r="D673" s="107">
        <v>20</v>
      </c>
      <c r="E673" s="31" t="s">
        <v>928</v>
      </c>
      <c r="F673" s="34">
        <f>IFERROR(_xlfn.XLOOKUP(E673,Index!$A:$A,Index!$B:$B),"")</f>
        <v>63.5</v>
      </c>
    </row>
    <row r="674" spans="1:6" s="1" customFormat="1" ht="12" x14ac:dyDescent="0.2">
      <c r="A674" s="26"/>
      <c r="B674" s="26"/>
      <c r="C674" s="82" t="s">
        <v>1150</v>
      </c>
      <c r="D674" s="98">
        <v>25</v>
      </c>
      <c r="E674" s="35" t="s">
        <v>929</v>
      </c>
      <c r="F674" s="34">
        <f>IFERROR(_xlfn.XLOOKUP(E674,Index!$A:$A,Index!$B:$B),"")</f>
        <v>73.5</v>
      </c>
    </row>
    <row r="675" spans="1:6" s="1" customFormat="1" ht="12" x14ac:dyDescent="0.2">
      <c r="A675" s="26"/>
      <c r="B675" s="26"/>
      <c r="C675" s="82" t="s">
        <v>223</v>
      </c>
      <c r="D675" s="98">
        <v>32</v>
      </c>
      <c r="E675" s="35" t="s">
        <v>930</v>
      </c>
      <c r="F675" s="34">
        <f>IFERROR(_xlfn.XLOOKUP(E675,Index!$A:$A,Index!$B:$B),"")</f>
        <v>80.5</v>
      </c>
    </row>
    <row r="676" spans="1:6" s="1" customFormat="1" ht="12" x14ac:dyDescent="0.2">
      <c r="A676" s="26"/>
      <c r="B676" s="26"/>
      <c r="C676" s="82" t="s">
        <v>225</v>
      </c>
      <c r="D676" s="98">
        <v>40</v>
      </c>
      <c r="E676" s="35" t="s">
        <v>930</v>
      </c>
      <c r="F676" s="34">
        <f>IFERROR(_xlfn.XLOOKUP(E676,Index!$A:$A,Index!$B:$B),"")</f>
        <v>80.5</v>
      </c>
    </row>
    <row r="677" spans="1:6" s="1" customFormat="1" ht="12" x14ac:dyDescent="0.2">
      <c r="A677" s="26"/>
      <c r="B677" s="26"/>
      <c r="C677" s="82" t="s">
        <v>1159</v>
      </c>
      <c r="D677" s="98">
        <v>50</v>
      </c>
      <c r="E677" s="35" t="s">
        <v>294</v>
      </c>
      <c r="F677" s="34">
        <f>IFERROR(_xlfn.XLOOKUP(E677,Index!$A:$A,Index!$B:$B),"")</f>
        <v>88.5</v>
      </c>
    </row>
    <row r="678" spans="1:6" s="1" customFormat="1" ht="12" x14ac:dyDescent="0.2">
      <c r="A678" s="26"/>
      <c r="B678" s="26"/>
      <c r="C678" s="82" t="s">
        <v>231</v>
      </c>
      <c r="D678" s="98">
        <v>65</v>
      </c>
      <c r="E678" s="35" t="s">
        <v>295</v>
      </c>
      <c r="F678" s="34">
        <f>IFERROR(_xlfn.XLOOKUP(E678,Index!$A:$A,Index!$B:$B),"")</f>
        <v>93.5</v>
      </c>
    </row>
    <row r="679" spans="1:6" s="1" customFormat="1" ht="12" x14ac:dyDescent="0.2">
      <c r="A679" s="26"/>
      <c r="B679" s="26"/>
      <c r="C679" s="82" t="s">
        <v>1166</v>
      </c>
      <c r="D679" s="98">
        <v>80</v>
      </c>
      <c r="E679" s="35" t="s">
        <v>296</v>
      </c>
      <c r="F679" s="34">
        <f>IFERROR(_xlfn.XLOOKUP(E679,Index!$A:$A,Index!$B:$B),"")</f>
        <v>124.5</v>
      </c>
    </row>
    <row r="680" spans="1:6" s="1" customFormat="1" ht="12" x14ac:dyDescent="0.2">
      <c r="A680" s="26"/>
      <c r="B680" s="26"/>
      <c r="C680" s="82" t="s">
        <v>1170</v>
      </c>
      <c r="D680" s="98">
        <v>100</v>
      </c>
      <c r="E680" s="35" t="s">
        <v>297</v>
      </c>
      <c r="F680" s="34">
        <f>IFERROR(_xlfn.XLOOKUP(E680,Index!$A:$A,Index!$B:$B),"")</f>
        <v>133.5</v>
      </c>
    </row>
    <row r="681" spans="1:6" s="1" customFormat="1" ht="12" x14ac:dyDescent="0.2">
      <c r="A681" s="26"/>
      <c r="B681" s="60" t="s">
        <v>298</v>
      </c>
      <c r="C681" s="82" t="s">
        <v>1174</v>
      </c>
      <c r="D681" s="98">
        <v>125</v>
      </c>
      <c r="E681" s="35" t="s">
        <v>931</v>
      </c>
      <c r="F681" s="34">
        <f>IFERROR(_xlfn.XLOOKUP(E681,Index!$A:$A,Index!$B:$B),"")</f>
        <v>225</v>
      </c>
    </row>
    <row r="682" spans="1:6" s="1" customFormat="1" ht="12" x14ac:dyDescent="0.2">
      <c r="A682" s="26"/>
      <c r="B682" s="26"/>
      <c r="C682" s="82" t="s">
        <v>1178</v>
      </c>
      <c r="D682" s="98">
        <v>150</v>
      </c>
      <c r="E682" s="35" t="s">
        <v>300</v>
      </c>
      <c r="F682" s="34">
        <f>IFERROR(_xlfn.XLOOKUP(E682,Index!$A:$A,Index!$B:$B),"")</f>
        <v>296.5</v>
      </c>
    </row>
    <row r="683" spans="1:6" s="1" customFormat="1" ht="12" x14ac:dyDescent="0.2">
      <c r="A683" s="26"/>
      <c r="B683" s="26"/>
      <c r="C683" s="82" t="s">
        <v>1182</v>
      </c>
      <c r="D683" s="98">
        <v>200</v>
      </c>
      <c r="E683" s="35" t="s">
        <v>301</v>
      </c>
      <c r="F683" s="34">
        <f>IFERROR(_xlfn.XLOOKUP(E683,Index!$A:$A,Index!$B:$B),"")</f>
        <v>516</v>
      </c>
    </row>
    <row r="684" spans="1:6" s="1" customFormat="1" ht="12" x14ac:dyDescent="0.2">
      <c r="A684" s="26"/>
      <c r="B684" s="26"/>
      <c r="C684" s="82" t="s">
        <v>1186</v>
      </c>
      <c r="D684" s="98">
        <v>250</v>
      </c>
      <c r="E684" s="35" t="s">
        <v>302</v>
      </c>
      <c r="F684" s="34">
        <f>IFERROR(_xlfn.XLOOKUP(E684,Index!$A:$A,Index!$B:$B),"")</f>
        <v>707</v>
      </c>
    </row>
    <row r="685" spans="1:6" s="1" customFormat="1" ht="12" x14ac:dyDescent="0.2">
      <c r="A685" s="26"/>
      <c r="B685" s="26"/>
      <c r="C685" s="82" t="s">
        <v>1190</v>
      </c>
      <c r="D685" s="98">
        <v>300</v>
      </c>
      <c r="E685" s="35" t="s">
        <v>6339</v>
      </c>
      <c r="F685" s="34">
        <f>IFERROR(_xlfn.XLOOKUP(E685,Index!$A:$A,Index!$B:$B),"")</f>
        <v>889.5</v>
      </c>
    </row>
    <row r="686" spans="1:6" s="1" customFormat="1" ht="12" x14ac:dyDescent="0.2">
      <c r="A686" s="26"/>
      <c r="B686" s="60" t="s">
        <v>211</v>
      </c>
      <c r="C686" s="82" t="s">
        <v>1143</v>
      </c>
      <c r="D686" s="98">
        <v>15</v>
      </c>
      <c r="E686" s="35" t="s">
        <v>2853</v>
      </c>
      <c r="F686" s="34">
        <f>IFERROR(_xlfn.XLOOKUP(E686,Index!$A:$A,Index!$B:$B),"")</f>
        <v>83.25</v>
      </c>
    </row>
    <row r="687" spans="1:6" s="1" customFormat="1" ht="12" x14ac:dyDescent="0.2">
      <c r="A687" s="26"/>
      <c r="B687" s="26"/>
      <c r="C687" s="82" t="s">
        <v>217</v>
      </c>
      <c r="D687" s="98">
        <v>20</v>
      </c>
      <c r="E687" s="35" t="s">
        <v>2854</v>
      </c>
      <c r="F687" s="34">
        <f>IFERROR(_xlfn.XLOOKUP(E687,Index!$A:$A,Index!$B:$B),"")</f>
        <v>83.25</v>
      </c>
    </row>
    <row r="688" spans="1:6" s="1" customFormat="1" ht="12" x14ac:dyDescent="0.2">
      <c r="A688" s="26"/>
      <c r="B688" s="26"/>
      <c r="C688" s="82" t="s">
        <v>1150</v>
      </c>
      <c r="D688" s="98">
        <v>25</v>
      </c>
      <c r="E688" s="35" t="s">
        <v>2854</v>
      </c>
      <c r="F688" s="34">
        <f>IFERROR(_xlfn.XLOOKUP(E688,Index!$A:$A,Index!$B:$B),"")</f>
        <v>83.25</v>
      </c>
    </row>
    <row r="689" spans="1:6" s="1" customFormat="1" ht="12" x14ac:dyDescent="0.2">
      <c r="A689" s="26"/>
      <c r="B689" s="26"/>
      <c r="C689" s="82" t="s">
        <v>223</v>
      </c>
      <c r="D689" s="98">
        <v>32</v>
      </c>
      <c r="E689" s="35" t="s">
        <v>2857</v>
      </c>
      <c r="F689" s="34">
        <f>IFERROR(_xlfn.XLOOKUP(E689,Index!$A:$A,Index!$B:$B),"")</f>
        <v>92</v>
      </c>
    </row>
    <row r="690" spans="1:6" s="1" customFormat="1" ht="12" x14ac:dyDescent="0.2">
      <c r="A690" s="26"/>
      <c r="B690" s="26"/>
      <c r="C690" s="82" t="s">
        <v>225</v>
      </c>
      <c r="D690" s="98">
        <v>40</v>
      </c>
      <c r="E690" s="35" t="s">
        <v>2857</v>
      </c>
      <c r="F690" s="34">
        <f>IFERROR(_xlfn.XLOOKUP(E690,Index!$A:$A,Index!$B:$B),"")</f>
        <v>92</v>
      </c>
    </row>
    <row r="691" spans="1:6" s="1" customFormat="1" ht="12" x14ac:dyDescent="0.2">
      <c r="A691" s="26"/>
      <c r="B691" s="26"/>
      <c r="C691" s="82" t="s">
        <v>1159</v>
      </c>
      <c r="D691" s="98">
        <v>50</v>
      </c>
      <c r="E691" s="35" t="s">
        <v>307</v>
      </c>
      <c r="F691" s="34">
        <f>IFERROR(_xlfn.XLOOKUP(E691,Index!$A:$A,Index!$B:$B),"")</f>
        <v>92</v>
      </c>
    </row>
    <row r="692" spans="1:6" s="1" customFormat="1" ht="12" x14ac:dyDescent="0.2">
      <c r="A692" s="26"/>
      <c r="B692" s="26"/>
      <c r="C692" s="82" t="s">
        <v>231</v>
      </c>
      <c r="D692" s="98">
        <v>65</v>
      </c>
      <c r="E692" s="35" t="s">
        <v>308</v>
      </c>
      <c r="F692" s="34">
        <f>IFERROR(_xlfn.XLOOKUP(E692,Index!$A:$A,Index!$B:$B),"")</f>
        <v>108.5</v>
      </c>
    </row>
    <row r="693" spans="1:6" s="1" customFormat="1" ht="12" x14ac:dyDescent="0.2">
      <c r="A693" s="26"/>
      <c r="B693" s="26"/>
      <c r="C693" s="82" t="s">
        <v>1166</v>
      </c>
      <c r="D693" s="98">
        <v>80</v>
      </c>
      <c r="E693" s="35" t="s">
        <v>309</v>
      </c>
      <c r="F693" s="34">
        <f>IFERROR(_xlfn.XLOOKUP(E693,Index!$A:$A,Index!$B:$B),"")</f>
        <v>125</v>
      </c>
    </row>
    <row r="694" spans="1:6" s="1" customFormat="1" ht="12" x14ac:dyDescent="0.2">
      <c r="A694" s="26"/>
      <c r="B694" s="26"/>
      <c r="C694" s="82" t="s">
        <v>1170</v>
      </c>
      <c r="D694" s="98">
        <v>100</v>
      </c>
      <c r="E694" s="35" t="s">
        <v>310</v>
      </c>
      <c r="F694" s="34">
        <f>IFERROR(_xlfn.XLOOKUP(E694,Index!$A:$A,Index!$B:$B),"")</f>
        <v>204</v>
      </c>
    </row>
    <row r="695" spans="1:6" s="1" customFormat="1" x14ac:dyDescent="0.25">
      <c r="A695" s="26"/>
      <c r="B695"/>
      <c r="C695" s="82" t="s">
        <v>1174</v>
      </c>
      <c r="D695" s="98">
        <v>125</v>
      </c>
      <c r="E695" s="35" t="s">
        <v>311</v>
      </c>
      <c r="F695" s="34">
        <f>IFERROR(_xlfn.XLOOKUP(E695,Index!$A:$A,Index!$B:$B),"")</f>
        <v>316</v>
      </c>
    </row>
    <row r="696" spans="1:6" s="1" customFormat="1" ht="12" x14ac:dyDescent="0.2">
      <c r="A696" s="26"/>
      <c r="B696" s="26"/>
      <c r="C696" s="82" t="s">
        <v>1178</v>
      </c>
      <c r="D696" s="98">
        <v>150</v>
      </c>
      <c r="E696" s="35" t="s">
        <v>312</v>
      </c>
      <c r="F696" s="34">
        <f>IFERROR(_xlfn.XLOOKUP(E696,Index!$A:$A,Index!$B:$B),"")</f>
        <v>394.5</v>
      </c>
    </row>
    <row r="697" spans="1:6" s="1" customFormat="1" ht="12" x14ac:dyDescent="0.2">
      <c r="A697" s="26"/>
      <c r="B697" s="26"/>
      <c r="C697" s="82" t="s">
        <v>1182</v>
      </c>
      <c r="D697" s="98">
        <v>200</v>
      </c>
      <c r="E697" s="35" t="s">
        <v>313</v>
      </c>
      <c r="F697" s="34">
        <f>IFERROR(_xlfn.XLOOKUP(E697,Index!$A:$A,Index!$B:$B),"")</f>
        <v>1246</v>
      </c>
    </row>
    <row r="698" spans="1:6" s="1" customFormat="1" ht="12" x14ac:dyDescent="0.2">
      <c r="A698" s="26"/>
      <c r="B698" s="26"/>
      <c r="C698" s="82" t="s">
        <v>1186</v>
      </c>
      <c r="D698" s="98">
        <v>250</v>
      </c>
      <c r="E698" s="35" t="s">
        <v>314</v>
      </c>
      <c r="F698" s="34">
        <f>IFERROR(_xlfn.XLOOKUP(E698,Index!$A:$A,Index!$B:$B),"")</f>
        <v>2084</v>
      </c>
    </row>
    <row r="699" spans="1:6" s="1" customFormat="1" ht="12" x14ac:dyDescent="0.2">
      <c r="A699" s="26"/>
      <c r="B699" s="26"/>
      <c r="C699" s="82" t="s">
        <v>1190</v>
      </c>
      <c r="D699" s="98">
        <v>300</v>
      </c>
      <c r="E699" s="35" t="s">
        <v>315</v>
      </c>
      <c r="F699" s="34">
        <f>IFERROR(_xlfn.XLOOKUP(E699,Index!$A:$A,Index!$B:$B),"")</f>
        <v>1943</v>
      </c>
    </row>
    <row r="700" spans="1:6" s="1" customFormat="1" ht="12" x14ac:dyDescent="0.2">
      <c r="A700" s="26"/>
      <c r="B700" s="60" t="s">
        <v>122</v>
      </c>
      <c r="C700" s="82" t="s">
        <v>1143</v>
      </c>
      <c r="D700" s="98">
        <v>15</v>
      </c>
      <c r="E700" s="31" t="s">
        <v>2859</v>
      </c>
      <c r="F700" s="34">
        <f>IFERROR(_xlfn.XLOOKUP(E700,Index!$A:$A,Index!$B:$B),"")</f>
        <v>83.25</v>
      </c>
    </row>
    <row r="701" spans="1:6" s="1" customFormat="1" ht="12" x14ac:dyDescent="0.2">
      <c r="A701" s="26"/>
      <c r="B701" s="26"/>
      <c r="C701" s="82" t="s">
        <v>217</v>
      </c>
      <c r="D701" s="98">
        <v>20</v>
      </c>
      <c r="E701" s="35" t="s">
        <v>2860</v>
      </c>
      <c r="F701" s="34">
        <f>IFERROR(_xlfn.XLOOKUP(E701,Index!$A:$A,Index!$B:$B),"")</f>
        <v>83.25</v>
      </c>
    </row>
    <row r="702" spans="1:6" s="1" customFormat="1" ht="12" x14ac:dyDescent="0.2">
      <c r="A702" s="26"/>
      <c r="B702" s="26"/>
      <c r="C702" s="82" t="s">
        <v>1150</v>
      </c>
      <c r="D702" s="98">
        <v>25</v>
      </c>
      <c r="E702" s="35" t="s">
        <v>319</v>
      </c>
      <c r="F702" s="34">
        <f>IFERROR(_xlfn.XLOOKUP(E702,Index!$A:$A,Index!$B:$B),"")</f>
        <v>442.5</v>
      </c>
    </row>
    <row r="703" spans="1:6" s="1" customFormat="1" ht="12" x14ac:dyDescent="0.2">
      <c r="A703" s="26"/>
      <c r="B703" s="26"/>
      <c r="C703" s="82" t="s">
        <v>223</v>
      </c>
      <c r="D703" s="98">
        <v>32</v>
      </c>
      <c r="E703" s="38" t="s">
        <v>5542</v>
      </c>
      <c r="F703" s="250">
        <f>$F$689</f>
        <v>92</v>
      </c>
    </row>
    <row r="704" spans="1:6" s="1" customFormat="1" ht="12" x14ac:dyDescent="0.2">
      <c r="A704" s="99"/>
      <c r="B704" s="99"/>
      <c r="C704" s="82" t="s">
        <v>225</v>
      </c>
      <c r="D704" s="98">
        <v>40</v>
      </c>
      <c r="E704" s="35" t="s">
        <v>320</v>
      </c>
      <c r="F704" s="34">
        <f>IFERROR(_xlfn.XLOOKUP(E704,Index!$A:$A,Index!$B:$B),"")</f>
        <v>442.5</v>
      </c>
    </row>
    <row r="705" spans="1:6" s="1" customFormat="1" x14ac:dyDescent="0.25">
      <c r="A705"/>
      <c r="B705" s="26"/>
      <c r="C705" s="82" t="s">
        <v>1159</v>
      </c>
      <c r="D705" s="98">
        <v>50</v>
      </c>
      <c r="E705" s="35" t="s">
        <v>321</v>
      </c>
      <c r="F705" s="34">
        <f>IFERROR(_xlfn.XLOOKUP(E705,Index!$A:$A,Index!$B:$B),"")</f>
        <v>92</v>
      </c>
    </row>
    <row r="706" spans="1:6" s="1" customFormat="1" x14ac:dyDescent="0.25">
      <c r="A706"/>
      <c r="B706" s="26"/>
      <c r="C706" s="82" t="s">
        <v>231</v>
      </c>
      <c r="D706" s="98">
        <v>65</v>
      </c>
      <c r="E706" s="35" t="s">
        <v>322</v>
      </c>
      <c r="F706" s="34">
        <f>IFERROR(_xlfn.XLOOKUP(E706,Index!$A:$A,Index!$B:$B),"")</f>
        <v>108.5</v>
      </c>
    </row>
    <row r="707" spans="1:6" s="1" customFormat="1" x14ac:dyDescent="0.25">
      <c r="A707"/>
      <c r="B707" s="26"/>
      <c r="C707" s="82" t="s">
        <v>1166</v>
      </c>
      <c r="D707" s="98">
        <v>80</v>
      </c>
      <c r="E707" s="35" t="s">
        <v>323</v>
      </c>
      <c r="F707" s="34">
        <f>IFERROR(_xlfn.XLOOKUP(E707,Index!$A:$A,Index!$B:$B),"")</f>
        <v>125</v>
      </c>
    </row>
    <row r="708" spans="1:6" s="1" customFormat="1" x14ac:dyDescent="0.25">
      <c r="A708"/>
      <c r="B708" s="26"/>
      <c r="C708" s="82" t="s">
        <v>1170</v>
      </c>
      <c r="D708" s="98">
        <v>100</v>
      </c>
      <c r="E708" s="35" t="s">
        <v>324</v>
      </c>
      <c r="F708" s="34">
        <f>IFERROR(_xlfn.XLOOKUP(E708,Index!$A:$A,Index!$B:$B),"")</f>
        <v>204</v>
      </c>
    </row>
    <row r="709" spans="1:6" s="1" customFormat="1" x14ac:dyDescent="0.25">
      <c r="A709"/>
      <c r="B709" s="26"/>
      <c r="C709" s="82" t="s">
        <v>1174</v>
      </c>
      <c r="D709" s="98">
        <v>125</v>
      </c>
      <c r="E709" s="35" t="s">
        <v>325</v>
      </c>
      <c r="F709" s="34">
        <f>IFERROR(_xlfn.XLOOKUP(E709,Index!$A:$A,Index!$B:$B),"")</f>
        <v>316</v>
      </c>
    </row>
    <row r="710" spans="1:6" s="1" customFormat="1" x14ac:dyDescent="0.25">
      <c r="A710"/>
      <c r="B710" s="26"/>
      <c r="C710" s="82" t="s">
        <v>1178</v>
      </c>
      <c r="D710" s="98">
        <v>150</v>
      </c>
      <c r="E710" s="35" t="s">
        <v>326</v>
      </c>
      <c r="F710" s="34">
        <f>IFERROR(_xlfn.XLOOKUP(E710,Index!$A:$A,Index!$B:$B),"")</f>
        <v>394.5</v>
      </c>
    </row>
    <row r="711" spans="1:6" s="1" customFormat="1" x14ac:dyDescent="0.25">
      <c r="A711"/>
      <c r="B711" s="26"/>
      <c r="C711" s="82" t="s">
        <v>1182</v>
      </c>
      <c r="D711" s="98">
        <v>200</v>
      </c>
      <c r="E711" s="35" t="s">
        <v>327</v>
      </c>
      <c r="F711" s="34">
        <f>IFERROR(_xlfn.XLOOKUP(E711,Index!$A:$A,Index!$B:$B),"")</f>
        <v>1246</v>
      </c>
    </row>
    <row r="712" spans="1:6" s="1" customFormat="1" x14ac:dyDescent="0.25">
      <c r="A712"/>
      <c r="B712" s="26"/>
      <c r="C712" s="82" t="s">
        <v>1186</v>
      </c>
      <c r="D712" s="98">
        <v>250</v>
      </c>
      <c r="E712" s="35" t="s">
        <v>328</v>
      </c>
      <c r="F712" s="34">
        <f>IFERROR(_xlfn.XLOOKUP(E712,Index!$A:$A,Index!$B:$B),"")</f>
        <v>2084</v>
      </c>
    </row>
    <row r="713" spans="1:6" s="1" customFormat="1" x14ac:dyDescent="0.25">
      <c r="A713"/>
      <c r="B713" s="26"/>
      <c r="C713" s="82" t="s">
        <v>1190</v>
      </c>
      <c r="D713" s="98">
        <v>300</v>
      </c>
      <c r="E713" s="35" t="s">
        <v>329</v>
      </c>
      <c r="F713" s="34">
        <f>IFERROR(_xlfn.XLOOKUP(E713,Index!$A:$A,Index!$B:$B),"")</f>
        <v>1943</v>
      </c>
    </row>
    <row r="714" spans="1:6" s="1" customFormat="1" x14ac:dyDescent="0.25">
      <c r="A714"/>
      <c r="B714" s="60" t="s">
        <v>134</v>
      </c>
      <c r="C714" s="82" t="s">
        <v>1143</v>
      </c>
      <c r="D714" s="98">
        <v>15</v>
      </c>
      <c r="E714" s="35" t="s">
        <v>2861</v>
      </c>
      <c r="F714" s="34">
        <f>IFERROR(_xlfn.XLOOKUP(E714,Index!$A:$A,Index!$B:$B),"")</f>
        <v>83.25</v>
      </c>
    </row>
    <row r="715" spans="1:6" s="1" customFormat="1" x14ac:dyDescent="0.25">
      <c r="A715"/>
      <c r="B715" s="26"/>
      <c r="C715" s="82" t="s">
        <v>217</v>
      </c>
      <c r="D715" s="98">
        <v>20</v>
      </c>
      <c r="E715" s="35" t="s">
        <v>2855</v>
      </c>
      <c r="F715" s="34">
        <f>IFERROR(_xlfn.XLOOKUP(E715,Index!$A:$A,Index!$B:$B),"")</f>
        <v>83.25</v>
      </c>
    </row>
    <row r="716" spans="1:6" s="1" customFormat="1" x14ac:dyDescent="0.25">
      <c r="A716"/>
      <c r="B716" s="26"/>
      <c r="C716" s="82" t="s">
        <v>1150</v>
      </c>
      <c r="D716" s="98">
        <v>25</v>
      </c>
      <c r="E716" s="35" t="s">
        <v>2855</v>
      </c>
      <c r="F716" s="34">
        <f>IFERROR(_xlfn.XLOOKUP(E716,Index!$A:$A,Index!$B:$B),"")</f>
        <v>83.25</v>
      </c>
    </row>
    <row r="717" spans="1:6" s="1" customFormat="1" x14ac:dyDescent="0.25">
      <c r="A717"/>
      <c r="B717" s="26"/>
      <c r="C717" s="82" t="s">
        <v>223</v>
      </c>
      <c r="D717" s="98">
        <v>32</v>
      </c>
      <c r="E717" s="38" t="s">
        <v>5542</v>
      </c>
      <c r="F717" s="250">
        <f>$F$689</f>
        <v>92</v>
      </c>
    </row>
    <row r="718" spans="1:6" s="1" customFormat="1" x14ac:dyDescent="0.25">
      <c r="A718"/>
      <c r="B718" s="26"/>
      <c r="C718" s="82" t="s">
        <v>225</v>
      </c>
      <c r="D718" s="98">
        <v>40</v>
      </c>
      <c r="E718" s="35" t="s">
        <v>2862</v>
      </c>
      <c r="F718" s="34">
        <f>IFERROR(_xlfn.XLOOKUP(E718,Index!$A:$A,Index!$B:$B),"")</f>
        <v>92</v>
      </c>
    </row>
    <row r="719" spans="1:6" s="1" customFormat="1" x14ac:dyDescent="0.25">
      <c r="A719"/>
      <c r="B719" s="26"/>
      <c r="C719" s="82" t="s">
        <v>1159</v>
      </c>
      <c r="D719" s="98">
        <v>50</v>
      </c>
      <c r="E719" s="35" t="s">
        <v>332</v>
      </c>
      <c r="F719" s="34">
        <f>IFERROR(_xlfn.XLOOKUP(E719,Index!$A:$A,Index!$B:$B),"")</f>
        <v>92</v>
      </c>
    </row>
    <row r="720" spans="1:6" s="1" customFormat="1" x14ac:dyDescent="0.25">
      <c r="A720"/>
      <c r="B720" s="26"/>
      <c r="C720" s="82" t="s">
        <v>231</v>
      </c>
      <c r="D720" s="98">
        <v>65</v>
      </c>
      <c r="E720" s="35" t="s">
        <v>333</v>
      </c>
      <c r="F720" s="34">
        <f>IFERROR(_xlfn.XLOOKUP(E720,Index!$A:$A,Index!$B:$B),"")</f>
        <v>108.5</v>
      </c>
    </row>
    <row r="721" spans="1:6" s="1" customFormat="1" x14ac:dyDescent="0.25">
      <c r="A721"/>
      <c r="B721" s="26"/>
      <c r="C721" s="82" t="s">
        <v>1166</v>
      </c>
      <c r="D721" s="98">
        <v>80</v>
      </c>
      <c r="E721" s="35" t="s">
        <v>334</v>
      </c>
      <c r="F721" s="34">
        <f>IFERROR(_xlfn.XLOOKUP(E721,Index!$A:$A,Index!$B:$B),"")</f>
        <v>125</v>
      </c>
    </row>
    <row r="722" spans="1:6" s="1" customFormat="1" x14ac:dyDescent="0.25">
      <c r="A722"/>
      <c r="B722" s="26"/>
      <c r="C722" s="82" t="s">
        <v>1170</v>
      </c>
      <c r="D722" s="98">
        <v>100</v>
      </c>
      <c r="E722" s="35" t="s">
        <v>335</v>
      </c>
      <c r="F722" s="34">
        <f>IFERROR(_xlfn.XLOOKUP(E722,Index!$A:$A,Index!$B:$B),"")</f>
        <v>204</v>
      </c>
    </row>
    <row r="723" spans="1:6" s="1" customFormat="1" x14ac:dyDescent="0.25">
      <c r="A723"/>
      <c r="B723" s="26"/>
      <c r="C723" s="82" t="s">
        <v>1174</v>
      </c>
      <c r="D723" s="98">
        <v>125</v>
      </c>
      <c r="E723" s="35" t="s">
        <v>336</v>
      </c>
      <c r="F723" s="34">
        <f>IFERROR(_xlfn.XLOOKUP(E723,Index!$A:$A,Index!$B:$B),"")</f>
        <v>316</v>
      </c>
    </row>
    <row r="724" spans="1:6" s="1" customFormat="1" x14ac:dyDescent="0.25">
      <c r="A724"/>
      <c r="B724" s="26"/>
      <c r="C724" s="82" t="s">
        <v>1178</v>
      </c>
      <c r="D724" s="98">
        <v>150</v>
      </c>
      <c r="E724" s="35" t="s">
        <v>337</v>
      </c>
      <c r="F724" s="34">
        <f>IFERROR(_xlfn.XLOOKUP(E724,Index!$A:$A,Index!$B:$B),"")</f>
        <v>394.5</v>
      </c>
    </row>
    <row r="725" spans="1:6" s="1" customFormat="1" x14ac:dyDescent="0.25">
      <c r="A725"/>
      <c r="B725" s="26"/>
      <c r="C725" s="82" t="s">
        <v>1182</v>
      </c>
      <c r="D725" s="98">
        <v>200</v>
      </c>
      <c r="E725" s="35" t="s">
        <v>338</v>
      </c>
      <c r="F725" s="34">
        <f>IFERROR(_xlfn.XLOOKUP(E725,Index!$A:$A,Index!$B:$B),"")</f>
        <v>1246</v>
      </c>
    </row>
    <row r="726" spans="1:6" s="1" customFormat="1" x14ac:dyDescent="0.25">
      <c r="A726"/>
      <c r="B726" s="26"/>
      <c r="C726" s="82" t="s">
        <v>1186</v>
      </c>
      <c r="D726" s="98">
        <v>250</v>
      </c>
      <c r="E726" s="35" t="s">
        <v>339</v>
      </c>
      <c r="F726" s="34">
        <f>IFERROR(_xlfn.XLOOKUP(E726,Index!$A:$A,Index!$B:$B),"")</f>
        <v>2084</v>
      </c>
    </row>
    <row r="727" spans="1:6" s="1" customFormat="1" x14ac:dyDescent="0.25">
      <c r="A727"/>
      <c r="B727" s="26"/>
      <c r="C727" s="82" t="s">
        <v>1190</v>
      </c>
      <c r="D727" s="98">
        <v>300</v>
      </c>
      <c r="E727" s="35" t="s">
        <v>340</v>
      </c>
      <c r="F727" s="34">
        <f>IFERROR(_xlfn.XLOOKUP(E727,Index!$A:$A,Index!$B:$B),"")</f>
        <v>1943</v>
      </c>
    </row>
    <row r="728" spans="1:6" s="1" customFormat="1" x14ac:dyDescent="0.25">
      <c r="A728"/>
      <c r="B728" s="60" t="s">
        <v>145</v>
      </c>
      <c r="C728" s="82" t="s">
        <v>1143</v>
      </c>
      <c r="D728" s="98">
        <v>15</v>
      </c>
      <c r="E728" s="38" t="s">
        <v>5542</v>
      </c>
      <c r="F728" s="250">
        <f t="shared" ref="F728:F729" si="5">F714</f>
        <v>83.25</v>
      </c>
    </row>
    <row r="729" spans="1:6" s="1" customFormat="1" x14ac:dyDescent="0.25">
      <c r="A729"/>
      <c r="B729" s="26"/>
      <c r="C729" s="82" t="s">
        <v>217</v>
      </c>
      <c r="D729" s="98">
        <v>20</v>
      </c>
      <c r="E729" s="38" t="s">
        <v>5542</v>
      </c>
      <c r="F729" s="250">
        <f t="shared" si="5"/>
        <v>83.25</v>
      </c>
    </row>
    <row r="730" spans="1:6" s="1" customFormat="1" x14ac:dyDescent="0.25">
      <c r="A730"/>
      <c r="B730" s="26"/>
      <c r="C730" s="82" t="s">
        <v>1150</v>
      </c>
      <c r="D730" s="98">
        <v>25</v>
      </c>
      <c r="E730" s="35" t="s">
        <v>2856</v>
      </c>
      <c r="F730" s="34">
        <f>IFERROR(_xlfn.XLOOKUP(E730,Index!$A:$A,Index!$B:$B),"")</f>
        <v>83.25</v>
      </c>
    </row>
    <row r="731" spans="1:6" s="1" customFormat="1" x14ac:dyDescent="0.25">
      <c r="A731"/>
      <c r="B731" s="26"/>
      <c r="C731" s="82" t="s">
        <v>223</v>
      </c>
      <c r="D731" s="98">
        <v>32</v>
      </c>
      <c r="E731" s="38" t="s">
        <v>5542</v>
      </c>
      <c r="F731" s="250">
        <f>$F$689</f>
        <v>92</v>
      </c>
    </row>
    <row r="732" spans="1:6" s="1" customFormat="1" x14ac:dyDescent="0.25">
      <c r="A732"/>
      <c r="B732" s="26"/>
      <c r="C732" s="82" t="s">
        <v>225</v>
      </c>
      <c r="D732" s="98">
        <v>40</v>
      </c>
      <c r="E732" s="35" t="s">
        <v>344</v>
      </c>
      <c r="F732" s="34">
        <f>IFERROR(_xlfn.XLOOKUP(E732,Index!$A:$A,Index!$B:$B),"")</f>
        <v>92</v>
      </c>
    </row>
    <row r="733" spans="1:6" s="1" customFormat="1" x14ac:dyDescent="0.25">
      <c r="A733"/>
      <c r="B733" s="26"/>
      <c r="C733" s="82" t="s">
        <v>1159</v>
      </c>
      <c r="D733" s="98">
        <v>50</v>
      </c>
      <c r="E733" s="35" t="s">
        <v>345</v>
      </c>
      <c r="F733" s="34">
        <f>IFERROR(_xlfn.XLOOKUP(E733,Index!$A:$A,Index!$B:$B),"")</f>
        <v>92</v>
      </c>
    </row>
    <row r="734" spans="1:6" s="1" customFormat="1" x14ac:dyDescent="0.25">
      <c r="A734"/>
      <c r="B734" s="26"/>
      <c r="C734" s="82" t="s">
        <v>231</v>
      </c>
      <c r="D734" s="98">
        <v>65</v>
      </c>
      <c r="E734" s="35" t="s">
        <v>346</v>
      </c>
      <c r="F734" s="34">
        <f>IFERROR(_xlfn.XLOOKUP(E734,Index!$A:$A,Index!$B:$B),"")</f>
        <v>108.5</v>
      </c>
    </row>
    <row r="735" spans="1:6" s="1" customFormat="1" x14ac:dyDescent="0.25">
      <c r="A735"/>
      <c r="B735" s="26"/>
      <c r="C735" s="82" t="s">
        <v>1166</v>
      </c>
      <c r="D735" s="98">
        <v>80</v>
      </c>
      <c r="E735" s="35" t="s">
        <v>347</v>
      </c>
      <c r="F735" s="34">
        <f>IFERROR(_xlfn.XLOOKUP(E735,Index!$A:$A,Index!$B:$B),"")</f>
        <v>125</v>
      </c>
    </row>
    <row r="736" spans="1:6" s="1" customFormat="1" x14ac:dyDescent="0.25">
      <c r="A736"/>
      <c r="B736" s="26"/>
      <c r="C736" s="82" t="s">
        <v>1170</v>
      </c>
      <c r="D736" s="98">
        <v>100</v>
      </c>
      <c r="E736" s="35" t="s">
        <v>348</v>
      </c>
      <c r="F736" s="34">
        <f>IFERROR(_xlfn.XLOOKUP(E736,Index!$A:$A,Index!$B:$B),"")</f>
        <v>204</v>
      </c>
    </row>
    <row r="737" spans="1:6" s="1" customFormat="1" x14ac:dyDescent="0.25">
      <c r="A737"/>
      <c r="B737" s="26"/>
      <c r="C737" s="82" t="s">
        <v>1174</v>
      </c>
      <c r="D737" s="98">
        <v>125</v>
      </c>
      <c r="E737" s="35" t="s">
        <v>349</v>
      </c>
      <c r="F737" s="34">
        <f>IFERROR(_xlfn.XLOOKUP(E737,Index!$A:$A,Index!$B:$B),"")</f>
        <v>316</v>
      </c>
    </row>
    <row r="738" spans="1:6" s="1" customFormat="1" x14ac:dyDescent="0.25">
      <c r="A738"/>
      <c r="B738" s="26"/>
      <c r="C738" s="82" t="s">
        <v>1178</v>
      </c>
      <c r="D738" s="98">
        <v>150</v>
      </c>
      <c r="E738" s="35" t="s">
        <v>350</v>
      </c>
      <c r="F738" s="34">
        <f>IFERROR(_xlfn.XLOOKUP(E738,Index!$A:$A,Index!$B:$B),"")</f>
        <v>394.5</v>
      </c>
    </row>
    <row r="739" spans="1:6" s="1" customFormat="1" x14ac:dyDescent="0.25">
      <c r="A739"/>
      <c r="B739" s="26"/>
      <c r="C739" s="82" t="s">
        <v>1182</v>
      </c>
      <c r="D739" s="98">
        <v>200</v>
      </c>
      <c r="E739" s="35" t="s">
        <v>351</v>
      </c>
      <c r="F739" s="34">
        <f>IFERROR(_xlfn.XLOOKUP(E739,Index!$A:$A,Index!$B:$B),"")</f>
        <v>1246</v>
      </c>
    </row>
    <row r="740" spans="1:6" s="1" customFormat="1" x14ac:dyDescent="0.25">
      <c r="A740"/>
      <c r="B740" s="26"/>
      <c r="C740" s="82" t="s">
        <v>1186</v>
      </c>
      <c r="D740" s="98">
        <v>250</v>
      </c>
      <c r="E740" s="35" t="s">
        <v>352</v>
      </c>
      <c r="F740" s="34">
        <f>IFERROR(_xlfn.XLOOKUP(E740,Index!$A:$A,Index!$B:$B),"")</f>
        <v>2084</v>
      </c>
    </row>
    <row r="741" spans="1:6" s="1" customFormat="1" x14ac:dyDescent="0.25">
      <c r="A741"/>
      <c r="B741" s="26"/>
      <c r="C741" s="230" t="s">
        <v>1190</v>
      </c>
      <c r="D741" s="186">
        <v>300</v>
      </c>
      <c r="E741" s="89" t="s">
        <v>353</v>
      </c>
      <c r="F741" s="34">
        <f>IFERROR(_xlfn.XLOOKUP(E741,Index!$A:$A,Index!$B:$B),"")</f>
        <v>1943</v>
      </c>
    </row>
    <row r="742" spans="1:6" s="1" customFormat="1" x14ac:dyDescent="0.25">
      <c r="A742"/>
      <c r="B742" s="60" t="s">
        <v>155</v>
      </c>
      <c r="C742" s="82" t="s">
        <v>1143</v>
      </c>
      <c r="D742" s="98">
        <v>15</v>
      </c>
      <c r="E742" s="35" t="s">
        <v>2863</v>
      </c>
      <c r="F742" s="34">
        <f>IFERROR(_xlfn.XLOOKUP(E742,Index!$A:$A,Index!$B:$B),"")</f>
        <v>83.25</v>
      </c>
    </row>
    <row r="743" spans="1:6" s="1" customFormat="1" x14ac:dyDescent="0.25">
      <c r="A743"/>
      <c r="B743" s="26"/>
      <c r="C743" s="82" t="s">
        <v>217</v>
      </c>
      <c r="D743" s="98">
        <v>20</v>
      </c>
      <c r="E743" s="35" t="s">
        <v>2864</v>
      </c>
      <c r="F743" s="34">
        <f>IFERROR(_xlfn.XLOOKUP(E743,Index!$A:$A,Index!$B:$B),"")</f>
        <v>83.25</v>
      </c>
    </row>
    <row r="744" spans="1:6" s="1" customFormat="1" x14ac:dyDescent="0.25">
      <c r="A744"/>
      <c r="B744" s="26"/>
      <c r="C744" s="82" t="s">
        <v>1150</v>
      </c>
      <c r="D744" s="98">
        <v>25</v>
      </c>
      <c r="E744" s="35" t="s">
        <v>354</v>
      </c>
      <c r="F744" s="34">
        <f>IFERROR(_xlfn.XLOOKUP(E744,Index!$A:$A,Index!$B:$B),"")</f>
        <v>83.25</v>
      </c>
    </row>
    <row r="745" spans="1:6" s="1" customFormat="1" x14ac:dyDescent="0.25">
      <c r="A745"/>
      <c r="B745" s="26"/>
      <c r="C745" s="82" t="s">
        <v>223</v>
      </c>
      <c r="D745" s="98">
        <v>32</v>
      </c>
      <c r="E745" s="38" t="s">
        <v>5542</v>
      </c>
      <c r="F745" s="250">
        <f>$F$689</f>
        <v>92</v>
      </c>
    </row>
    <row r="746" spans="1:6" s="1" customFormat="1" x14ac:dyDescent="0.25">
      <c r="A746"/>
      <c r="B746" s="26"/>
      <c r="C746" s="82" t="s">
        <v>225</v>
      </c>
      <c r="D746" s="98">
        <v>40</v>
      </c>
      <c r="E746" s="35" t="s">
        <v>2865</v>
      </c>
      <c r="F746" s="34">
        <f>IFERROR(_xlfn.XLOOKUP(E746,Index!$A:$A,Index!$B:$B),"")</f>
        <v>92</v>
      </c>
    </row>
    <row r="747" spans="1:6" s="1" customFormat="1" x14ac:dyDescent="0.25">
      <c r="A747"/>
      <c r="B747" s="26"/>
      <c r="C747" s="82" t="s">
        <v>1159</v>
      </c>
      <c r="D747" s="98">
        <v>50</v>
      </c>
      <c r="E747" s="35" t="s">
        <v>355</v>
      </c>
      <c r="F747" s="34">
        <f>IFERROR(_xlfn.XLOOKUP(E747,Index!$A:$A,Index!$B:$B),"")</f>
        <v>92</v>
      </c>
    </row>
    <row r="748" spans="1:6" s="1" customFormat="1" x14ac:dyDescent="0.25">
      <c r="A748"/>
      <c r="B748" s="26"/>
      <c r="C748" s="82" t="s">
        <v>231</v>
      </c>
      <c r="D748" s="98">
        <v>65</v>
      </c>
      <c r="E748" s="35" t="s">
        <v>356</v>
      </c>
      <c r="F748" s="34">
        <f>IFERROR(_xlfn.XLOOKUP(E748,Index!$A:$A,Index!$B:$B),"")</f>
        <v>108.5</v>
      </c>
    </row>
    <row r="749" spans="1:6" s="1" customFormat="1" x14ac:dyDescent="0.25">
      <c r="A749"/>
      <c r="B749" s="26"/>
      <c r="C749" s="82" t="s">
        <v>1166</v>
      </c>
      <c r="D749" s="98">
        <v>80</v>
      </c>
      <c r="E749" s="35" t="s">
        <v>357</v>
      </c>
      <c r="F749" s="34">
        <f>IFERROR(_xlfn.XLOOKUP(E749,Index!$A:$A,Index!$B:$B),"")</f>
        <v>125</v>
      </c>
    </row>
    <row r="750" spans="1:6" s="1" customFormat="1" x14ac:dyDescent="0.25">
      <c r="A750"/>
      <c r="B750" s="26"/>
      <c r="C750" s="82" t="s">
        <v>1170</v>
      </c>
      <c r="D750" s="98">
        <v>100</v>
      </c>
      <c r="E750" s="35" t="s">
        <v>358</v>
      </c>
      <c r="F750" s="34">
        <f>IFERROR(_xlfn.XLOOKUP(E750,Index!$A:$A,Index!$B:$B),"")</f>
        <v>204</v>
      </c>
    </row>
    <row r="751" spans="1:6" s="1" customFormat="1" x14ac:dyDescent="0.25">
      <c r="A751"/>
      <c r="B751" s="26"/>
      <c r="C751" s="82" t="s">
        <v>1174</v>
      </c>
      <c r="D751" s="98">
        <v>125</v>
      </c>
      <c r="E751" s="35" t="s">
        <v>359</v>
      </c>
      <c r="F751" s="34">
        <f>IFERROR(_xlfn.XLOOKUP(E751,Index!$A:$A,Index!$B:$B),"")</f>
        <v>316</v>
      </c>
    </row>
    <row r="752" spans="1:6" s="1" customFormat="1" x14ac:dyDescent="0.25">
      <c r="A752"/>
      <c r="B752" s="26"/>
      <c r="C752" s="82" t="s">
        <v>1178</v>
      </c>
      <c r="D752" s="98">
        <v>150</v>
      </c>
      <c r="E752" s="35" t="s">
        <v>2869</v>
      </c>
      <c r="F752" s="34">
        <f>IFERROR(_xlfn.XLOOKUP(E752,Index!$A:$A,Index!$B:$B),"")</f>
        <v>394.5</v>
      </c>
    </row>
    <row r="753" spans="1:16" s="1" customFormat="1" x14ac:dyDescent="0.25">
      <c r="A753"/>
      <c r="B753" s="26"/>
      <c r="C753" s="82" t="s">
        <v>1182</v>
      </c>
      <c r="D753" s="98">
        <v>200</v>
      </c>
      <c r="E753" s="35" t="s">
        <v>361</v>
      </c>
      <c r="F753" s="34">
        <f>IFERROR(_xlfn.XLOOKUP(E753,Index!$A:$A,Index!$B:$B),"")</f>
        <v>1246</v>
      </c>
    </row>
    <row r="754" spans="1:16" s="1" customFormat="1" x14ac:dyDescent="0.25">
      <c r="A754"/>
      <c r="B754" s="26"/>
      <c r="C754" s="82" t="s">
        <v>1186</v>
      </c>
      <c r="D754" s="98">
        <v>250</v>
      </c>
      <c r="E754" s="35" t="s">
        <v>362</v>
      </c>
      <c r="F754" s="34">
        <f>IFERROR(_xlfn.XLOOKUP(E754,Index!$A:$A,Index!$B:$B),"")</f>
        <v>2084</v>
      </c>
    </row>
    <row r="755" spans="1:16" s="1" customFormat="1" x14ac:dyDescent="0.25">
      <c r="A755" s="126"/>
      <c r="B755" s="27"/>
      <c r="C755" s="82" t="s">
        <v>1190</v>
      </c>
      <c r="D755" s="98">
        <v>300</v>
      </c>
      <c r="E755" s="35" t="s">
        <v>363</v>
      </c>
      <c r="F755" s="34">
        <f>IFERROR(_xlfn.XLOOKUP(E755,Index!$A:$A,Index!$B:$B),"")</f>
        <v>6254</v>
      </c>
    </row>
    <row r="756" spans="1:16" s="1" customFormat="1" ht="15.75" x14ac:dyDescent="0.2">
      <c r="A756" s="62"/>
      <c r="B756" s="62"/>
      <c r="C756" s="14"/>
      <c r="D756" s="3"/>
      <c r="E756" s="8"/>
      <c r="F756" s="9"/>
      <c r="G756" s="10"/>
      <c r="H756" s="19"/>
      <c r="I756" s="19"/>
      <c r="J756" s="20"/>
    </row>
    <row r="757" spans="1:16" s="1" customFormat="1" ht="15.75" x14ac:dyDescent="0.25">
      <c r="A757" s="71" t="s">
        <v>5911</v>
      </c>
      <c r="B757" s="71" t="s">
        <v>650</v>
      </c>
      <c r="C757" s="72"/>
      <c r="D757" s="73"/>
      <c r="E757" s="74"/>
      <c r="F757" s="75"/>
      <c r="G757" s="76"/>
      <c r="H757" s="77"/>
      <c r="I757" s="77"/>
      <c r="J757" s="78"/>
      <c r="K757"/>
      <c r="L757"/>
      <c r="M757"/>
      <c r="N757"/>
      <c r="O757"/>
      <c r="P757"/>
    </row>
    <row r="758" spans="1:16" s="1" customFormat="1" ht="15.75" x14ac:dyDescent="0.25">
      <c r="A758" s="48" t="s">
        <v>5912</v>
      </c>
      <c r="B758" s="11"/>
      <c r="C758" s="4"/>
      <c r="D758" s="4"/>
      <c r="E758" s="5"/>
      <c r="F758" s="9"/>
      <c r="G758" s="4"/>
      <c r="H758" s="19"/>
      <c r="I758" s="19"/>
      <c r="J758" s="20"/>
      <c r="K758"/>
      <c r="L758"/>
      <c r="M758"/>
      <c r="N758"/>
      <c r="O758"/>
      <c r="P758"/>
    </row>
    <row r="759" spans="1:16" s="1" customFormat="1" ht="12.75" customHeight="1" x14ac:dyDescent="0.25">
      <c r="A759" s="25" t="s">
        <v>35</v>
      </c>
      <c r="B759" s="28" t="s">
        <v>36</v>
      </c>
      <c r="C759" s="333" t="s">
        <v>37</v>
      </c>
      <c r="D759" s="334"/>
      <c r="E759" s="335" t="s">
        <v>38</v>
      </c>
      <c r="F759" s="336"/>
      <c r="G759" s="335" t="s">
        <v>39</v>
      </c>
      <c r="H759" s="336"/>
      <c r="I759" s="42" t="s">
        <v>40</v>
      </c>
      <c r="J759" s="43" t="s">
        <v>41</v>
      </c>
      <c r="K759"/>
      <c r="L759"/>
      <c r="M759"/>
      <c r="N759"/>
      <c r="O759"/>
      <c r="P759"/>
    </row>
    <row r="760" spans="1:16" s="1" customFormat="1" ht="12.75" customHeight="1" x14ac:dyDescent="0.25">
      <c r="A760" s="32"/>
      <c r="B760" s="32"/>
      <c r="C760" s="33" t="s">
        <v>42</v>
      </c>
      <c r="D760" s="33" t="s">
        <v>43</v>
      </c>
      <c r="E760" s="33" t="s">
        <v>44</v>
      </c>
      <c r="F760" s="33" t="s">
        <v>45</v>
      </c>
      <c r="G760" s="33" t="s">
        <v>46</v>
      </c>
      <c r="H760" s="33" t="s">
        <v>47</v>
      </c>
      <c r="I760" s="33"/>
      <c r="J760" s="44"/>
      <c r="K760"/>
      <c r="L760"/>
      <c r="M760"/>
      <c r="N760"/>
      <c r="O760"/>
      <c r="P760"/>
    </row>
    <row r="761" spans="1:16" s="1" customFormat="1" ht="12.75" customHeight="1" x14ac:dyDescent="0.25">
      <c r="A761" s="66" t="s">
        <v>5913</v>
      </c>
      <c r="B761" s="60" t="s">
        <v>1021</v>
      </c>
      <c r="C761" s="89" t="s">
        <v>50</v>
      </c>
      <c r="D761" s="35" t="s">
        <v>508</v>
      </c>
      <c r="E761" s="64">
        <v>0.5</v>
      </c>
      <c r="F761" s="45">
        <v>15</v>
      </c>
      <c r="G761" s="35">
        <v>6</v>
      </c>
      <c r="H761" s="40">
        <v>2.7</v>
      </c>
      <c r="I761" s="38" t="s">
        <v>5914</v>
      </c>
      <c r="J761" s="34">
        <f>IFERROR(_xlfn.XLOOKUP(I761,Index!$A:$A,Index!$B:$B),"")</f>
        <v>3566</v>
      </c>
      <c r="K761"/>
      <c r="L761"/>
      <c r="M761"/>
      <c r="N761"/>
      <c r="O761"/>
      <c r="P761"/>
    </row>
    <row r="762" spans="1:16" s="1" customFormat="1" ht="12.75" customHeight="1" x14ac:dyDescent="0.25">
      <c r="A762" s="66"/>
      <c r="B762" s="26"/>
      <c r="C762" s="30"/>
      <c r="D762" s="35" t="s">
        <v>508</v>
      </c>
      <c r="E762" s="64">
        <v>0.75</v>
      </c>
      <c r="F762" s="45">
        <v>20</v>
      </c>
      <c r="G762" s="35">
        <v>12</v>
      </c>
      <c r="H762" s="40">
        <v>5.4</v>
      </c>
      <c r="I762" s="38" t="s">
        <v>5915</v>
      </c>
      <c r="J762" s="34">
        <f>J761+600</f>
        <v>4166</v>
      </c>
      <c r="K762" s="257"/>
      <c r="L762"/>
      <c r="M762"/>
      <c r="N762"/>
      <c r="O762"/>
      <c r="P762"/>
    </row>
    <row r="763" spans="1:16" s="1" customFormat="1" ht="12.75" customHeight="1" x14ac:dyDescent="0.25">
      <c r="A763" s="66"/>
      <c r="B763" s="26"/>
      <c r="C763" s="30"/>
      <c r="D763" s="35" t="s">
        <v>508</v>
      </c>
      <c r="E763" s="64">
        <v>1</v>
      </c>
      <c r="F763" s="45">
        <v>25</v>
      </c>
      <c r="G763" s="35">
        <v>13</v>
      </c>
      <c r="H763" s="40">
        <v>5.9</v>
      </c>
      <c r="I763" s="38" t="s">
        <v>5916</v>
      </c>
      <c r="J763" s="34">
        <f>IFERROR(_xlfn.XLOOKUP(I763,Index!$A:$A,Index!$B:$B),"")</f>
        <v>4742</v>
      </c>
      <c r="K763"/>
      <c r="L763"/>
      <c r="M763"/>
      <c r="N763"/>
      <c r="O763"/>
      <c r="P763"/>
    </row>
    <row r="764" spans="1:16" s="1" customFormat="1" ht="12.75" customHeight="1" x14ac:dyDescent="0.25">
      <c r="A764" s="66"/>
      <c r="B764" s="26"/>
      <c r="C764" s="30"/>
      <c r="D764" s="35" t="s">
        <v>508</v>
      </c>
      <c r="E764" s="64">
        <v>1.25</v>
      </c>
      <c r="F764" s="45">
        <v>32</v>
      </c>
      <c r="G764" s="35">
        <v>16</v>
      </c>
      <c r="H764" s="40">
        <v>7.3</v>
      </c>
      <c r="I764" s="38" t="s">
        <v>5542</v>
      </c>
      <c r="J764" s="34">
        <f>J763+1939</f>
        <v>6681</v>
      </c>
      <c r="K764" s="257"/>
      <c r="L764"/>
      <c r="M764"/>
      <c r="N764"/>
      <c r="O764"/>
      <c r="P764"/>
    </row>
    <row r="765" spans="1:16" s="1" customFormat="1" ht="12.75" customHeight="1" x14ac:dyDescent="0.25">
      <c r="A765" s="66"/>
      <c r="B765" s="26"/>
      <c r="C765" s="30"/>
      <c r="D765" s="35" t="s">
        <v>508</v>
      </c>
      <c r="E765" s="64">
        <v>1.5</v>
      </c>
      <c r="F765" s="45">
        <v>40</v>
      </c>
      <c r="G765" s="35">
        <v>27</v>
      </c>
      <c r="H765" s="40">
        <v>12.2</v>
      </c>
      <c r="I765" s="38" t="s">
        <v>5917</v>
      </c>
      <c r="J765" s="34">
        <f>IFERROR(_xlfn.XLOOKUP(I765,Index!$A:$A,Index!$B:$B),"")</f>
        <v>8545</v>
      </c>
      <c r="K765"/>
      <c r="L765"/>
      <c r="M765"/>
      <c r="N765"/>
      <c r="O765"/>
      <c r="P765"/>
    </row>
    <row r="766" spans="1:16" s="1" customFormat="1" ht="12.75" customHeight="1" x14ac:dyDescent="0.25">
      <c r="A766" s="12"/>
      <c r="B766" s="26"/>
      <c r="C766" s="30"/>
      <c r="D766" s="35" t="s">
        <v>508</v>
      </c>
      <c r="E766" s="64">
        <v>2</v>
      </c>
      <c r="F766" s="45">
        <v>50</v>
      </c>
      <c r="G766" s="35">
        <v>39</v>
      </c>
      <c r="H766" s="40">
        <v>17.7</v>
      </c>
      <c r="I766" s="38" t="s">
        <v>5918</v>
      </c>
      <c r="J766" s="34">
        <f>IFERROR(_xlfn.XLOOKUP(I766,Index!$A:$A,Index!$B:$B),"")</f>
        <v>8545</v>
      </c>
      <c r="K766"/>
      <c r="L766"/>
      <c r="M766"/>
      <c r="N766"/>
      <c r="O766"/>
      <c r="P766"/>
    </row>
    <row r="767" spans="1:16" s="1" customFormat="1" ht="15.75" x14ac:dyDescent="0.25">
      <c r="A767" s="62"/>
      <c r="B767" s="304"/>
      <c r="C767" s="302"/>
      <c r="D767" s="35" t="s">
        <v>508</v>
      </c>
      <c r="E767" s="64">
        <v>2.5</v>
      </c>
      <c r="F767" s="45">
        <v>65</v>
      </c>
      <c r="G767" s="35">
        <v>60</v>
      </c>
      <c r="H767" s="40">
        <v>27.2</v>
      </c>
      <c r="I767" s="38" t="s">
        <v>5919</v>
      </c>
      <c r="J767" s="34">
        <f>IFERROR(_xlfn.XLOOKUP(I767,Index!$A:$A,Index!$B:$B),"")</f>
        <v>11651</v>
      </c>
      <c r="K767"/>
      <c r="L767"/>
    </row>
    <row r="768" spans="1:16" s="1" customFormat="1" ht="15.75" x14ac:dyDescent="0.25">
      <c r="A768" s="301"/>
      <c r="B768" s="305"/>
      <c r="C768" s="303"/>
      <c r="D768" s="35" t="s">
        <v>508</v>
      </c>
      <c r="E768" s="64">
        <v>3</v>
      </c>
      <c r="F768" s="45">
        <v>80</v>
      </c>
      <c r="G768" s="35">
        <v>75</v>
      </c>
      <c r="H768" s="40">
        <v>34</v>
      </c>
      <c r="I768" s="38" t="s">
        <v>5920</v>
      </c>
      <c r="J768" s="34">
        <f>IFERROR(_xlfn.XLOOKUP(I768,Index!$A:$A,Index!$B:$B),"")</f>
        <v>13575</v>
      </c>
      <c r="K768"/>
      <c r="L768"/>
    </row>
    <row r="769" spans="1:12" s="1" customFormat="1" ht="15.75" x14ac:dyDescent="0.25">
      <c r="A769" s="62"/>
      <c r="B769" s="304"/>
      <c r="C769" s="302"/>
      <c r="D769" s="35" t="s">
        <v>648</v>
      </c>
      <c r="E769" s="64">
        <v>4</v>
      </c>
      <c r="F769" s="45">
        <v>100</v>
      </c>
      <c r="G769" s="35">
        <v>160</v>
      </c>
      <c r="H769" s="40">
        <v>72.599999999999994</v>
      </c>
      <c r="I769" s="38" t="s">
        <v>5921</v>
      </c>
      <c r="J769" s="34">
        <f>IFERROR(_xlfn.XLOOKUP(I769,Index!$A:$A,Index!$B:$B),"")</f>
        <v>24327</v>
      </c>
      <c r="K769"/>
      <c r="L769"/>
    </row>
    <row r="770" spans="1:12" s="1" customFormat="1" ht="15.75" x14ac:dyDescent="0.25">
      <c r="A770" s="301"/>
      <c r="B770" s="305"/>
      <c r="C770" s="303"/>
      <c r="D770" s="35" t="s">
        <v>648</v>
      </c>
      <c r="E770" s="64">
        <v>6</v>
      </c>
      <c r="F770" s="45">
        <v>150</v>
      </c>
      <c r="G770" s="35">
        <v>14</v>
      </c>
      <c r="H770" s="40">
        <v>6.4</v>
      </c>
      <c r="I770" s="38" t="s">
        <v>5922</v>
      </c>
      <c r="J770" s="34">
        <f>IFERROR(_xlfn.XLOOKUP(I770,Index!$A:$A,Index!$B:$B),"")</f>
        <v>48127</v>
      </c>
      <c r="K770"/>
      <c r="L770"/>
    </row>
    <row r="771" spans="1:12" s="1" customFormat="1" ht="15.75" x14ac:dyDescent="0.25">
      <c r="A771" s="62"/>
      <c r="B771" s="62"/>
      <c r="C771" s="14"/>
      <c r="D771" s="3"/>
      <c r="E771" s="8"/>
      <c r="F771" s="9"/>
      <c r="G771" s="10"/>
      <c r="H771" s="19"/>
      <c r="I771" s="19"/>
      <c r="J771" s="20"/>
      <c r="K771"/>
    </row>
    <row r="772" spans="1:12" s="1" customFormat="1" ht="15.75" x14ac:dyDescent="0.25">
      <c r="A772" s="62"/>
      <c r="B772" s="62"/>
      <c r="C772" s="14"/>
      <c r="D772" s="3"/>
      <c r="E772" s="8"/>
      <c r="F772" s="9"/>
      <c r="G772" s="10"/>
      <c r="H772" s="19"/>
      <c r="I772" s="19"/>
      <c r="J772" s="20"/>
      <c r="K772"/>
    </row>
    <row r="773" spans="1:12" s="1" customFormat="1" ht="15.75" x14ac:dyDescent="0.25">
      <c r="A773" s="62"/>
      <c r="B773" s="62"/>
      <c r="C773" s="14"/>
      <c r="D773" s="3"/>
      <c r="E773" s="8"/>
      <c r="F773" s="9"/>
      <c r="G773" s="10"/>
      <c r="H773" s="19"/>
      <c r="I773" s="19"/>
      <c r="J773" s="20"/>
      <c r="K773"/>
    </row>
    <row r="774" spans="1:12" s="1" customFormat="1" ht="15.75" x14ac:dyDescent="0.25">
      <c r="A774" s="62"/>
      <c r="B774" s="62"/>
      <c r="C774" s="14"/>
      <c r="D774" s="3"/>
      <c r="E774" s="8"/>
      <c r="F774" s="9"/>
      <c r="G774" s="10"/>
      <c r="H774" s="19"/>
      <c r="I774" s="19"/>
      <c r="J774" s="20"/>
      <c r="K774"/>
    </row>
    <row r="775" spans="1:12" s="1" customFormat="1" ht="15.75" x14ac:dyDescent="0.2">
      <c r="A775" s="62"/>
      <c r="B775" s="62"/>
      <c r="C775" s="14"/>
      <c r="D775" s="3"/>
      <c r="E775" s="8"/>
      <c r="F775" s="9"/>
      <c r="G775" s="10"/>
      <c r="H775" s="19"/>
      <c r="I775" s="19"/>
      <c r="J775" s="20"/>
    </row>
    <row r="776" spans="1:12" s="1" customFormat="1" ht="15.75" x14ac:dyDescent="0.2">
      <c r="A776" s="62"/>
      <c r="B776" s="62"/>
      <c r="C776" s="14"/>
      <c r="D776" s="3"/>
      <c r="E776" s="8"/>
      <c r="F776" s="9"/>
      <c r="G776" s="10"/>
      <c r="H776" s="19"/>
      <c r="I776" s="19"/>
      <c r="J776" s="20"/>
    </row>
    <row r="777" spans="1:12" s="1" customFormat="1" ht="15.75" x14ac:dyDescent="0.2">
      <c r="A777" s="62"/>
      <c r="B777" s="62"/>
      <c r="C777" s="14"/>
      <c r="D777" s="3"/>
      <c r="E777" s="8"/>
      <c r="F777" s="9"/>
      <c r="G777" s="10"/>
      <c r="H777" s="19"/>
      <c r="I777" s="19"/>
      <c r="J777" s="20"/>
    </row>
    <row r="778" spans="1:12" s="1" customFormat="1" ht="15.75" x14ac:dyDescent="0.2">
      <c r="A778" s="62"/>
      <c r="B778" s="62"/>
      <c r="C778" s="14"/>
      <c r="D778" s="3"/>
      <c r="E778" s="8"/>
      <c r="F778" s="9"/>
      <c r="G778" s="10"/>
      <c r="H778" s="19"/>
      <c r="I778" s="19"/>
      <c r="J778" s="20"/>
    </row>
    <row r="779" spans="1:12" s="1" customFormat="1" ht="15.75" x14ac:dyDescent="0.2">
      <c r="A779" s="62"/>
      <c r="B779" s="62"/>
      <c r="C779" s="14"/>
      <c r="D779" s="3"/>
      <c r="E779" s="8"/>
      <c r="F779" s="9"/>
      <c r="G779" s="10"/>
      <c r="H779" s="19"/>
      <c r="I779" s="19"/>
      <c r="J779" s="20"/>
    </row>
    <row r="780" spans="1:12" s="1" customFormat="1" ht="15.75" x14ac:dyDescent="0.2">
      <c r="A780" s="62"/>
      <c r="B780" s="62"/>
      <c r="C780" s="14"/>
      <c r="D780" s="3"/>
      <c r="E780" s="8"/>
      <c r="F780" s="9"/>
      <c r="G780" s="10"/>
      <c r="H780" s="19"/>
      <c r="I780" s="19"/>
      <c r="J780" s="20"/>
    </row>
    <row r="781" spans="1:12" s="1" customFormat="1" ht="15.75" x14ac:dyDescent="0.2">
      <c r="A781" s="62"/>
      <c r="B781" s="62"/>
      <c r="C781" s="14"/>
      <c r="D781" s="3"/>
      <c r="E781" s="8"/>
      <c r="F781" s="9"/>
      <c r="G781" s="10"/>
      <c r="H781" s="19"/>
      <c r="I781" s="19"/>
      <c r="J781" s="20"/>
    </row>
    <row r="782" spans="1:12" s="1" customFormat="1" ht="15.75" x14ac:dyDescent="0.2">
      <c r="A782" s="62"/>
      <c r="B782" s="62"/>
      <c r="C782" s="14"/>
      <c r="D782" s="3"/>
      <c r="E782" s="8"/>
      <c r="F782" s="9"/>
      <c r="G782" s="10"/>
      <c r="H782" s="19"/>
      <c r="I782" s="19"/>
      <c r="J782" s="20"/>
    </row>
    <row r="783" spans="1:12" s="1" customFormat="1" ht="15.75" x14ac:dyDescent="0.2">
      <c r="A783" s="62"/>
      <c r="B783" s="62"/>
      <c r="C783" s="14"/>
      <c r="D783" s="3"/>
      <c r="E783" s="8"/>
      <c r="F783" s="9"/>
      <c r="G783" s="10"/>
      <c r="H783" s="19"/>
      <c r="I783" s="19"/>
      <c r="J783" s="20"/>
    </row>
    <row r="784" spans="1:12" s="1" customFormat="1" ht="15.75" x14ac:dyDescent="0.2">
      <c r="A784" s="62"/>
      <c r="B784" s="62"/>
      <c r="C784" s="14"/>
      <c r="D784" s="3"/>
      <c r="E784" s="8"/>
      <c r="F784" s="9"/>
      <c r="G784" s="10"/>
      <c r="H784" s="19"/>
      <c r="I784" s="19"/>
      <c r="J784" s="20"/>
    </row>
    <row r="785" spans="1:10" s="1" customFormat="1" ht="15.75" x14ac:dyDescent="0.2">
      <c r="A785" s="62"/>
      <c r="B785" s="62"/>
      <c r="C785" s="14"/>
      <c r="D785" s="3"/>
      <c r="E785" s="8"/>
      <c r="F785" s="9"/>
      <c r="G785" s="10"/>
      <c r="H785" s="19"/>
      <c r="I785" s="19"/>
      <c r="J785" s="20"/>
    </row>
    <row r="786" spans="1:10" s="1" customFormat="1" ht="15.75" x14ac:dyDescent="0.2">
      <c r="A786" s="62"/>
      <c r="B786" s="62"/>
      <c r="C786" s="14"/>
      <c r="D786" s="3"/>
      <c r="E786" s="8"/>
      <c r="F786" s="9"/>
      <c r="G786" s="10"/>
      <c r="H786" s="19"/>
      <c r="I786" s="19"/>
      <c r="J786" s="20"/>
    </row>
    <row r="787" spans="1:10" s="1" customFormat="1" ht="15.75" x14ac:dyDescent="0.2">
      <c r="A787" s="62"/>
      <c r="B787" s="62"/>
      <c r="C787" s="14"/>
      <c r="D787" s="3"/>
      <c r="E787" s="8"/>
      <c r="F787" s="9"/>
      <c r="G787" s="10"/>
      <c r="H787" s="19"/>
      <c r="I787" s="19"/>
      <c r="J787" s="20"/>
    </row>
    <row r="788" spans="1:10" s="1" customFormat="1" ht="15.75" x14ac:dyDescent="0.2">
      <c r="A788" s="62"/>
      <c r="B788" s="62"/>
      <c r="C788" s="14"/>
      <c r="D788" s="3"/>
      <c r="E788" s="8"/>
      <c r="F788" s="9"/>
      <c r="G788" s="10"/>
      <c r="H788" s="19"/>
      <c r="I788" s="19"/>
      <c r="J788" s="20"/>
    </row>
    <row r="789" spans="1:10" s="1" customFormat="1" ht="15.75" x14ac:dyDescent="0.2">
      <c r="A789" s="62"/>
      <c r="B789" s="62"/>
      <c r="C789" s="14"/>
      <c r="D789" s="3"/>
      <c r="E789" s="8"/>
      <c r="F789" s="9"/>
      <c r="G789" s="10"/>
      <c r="H789" s="19"/>
      <c r="I789" s="19"/>
      <c r="J789" s="20"/>
    </row>
    <row r="790" spans="1:10" s="1" customFormat="1" ht="15.75" x14ac:dyDescent="0.2">
      <c r="A790" s="62"/>
      <c r="B790" s="62"/>
      <c r="C790" s="14"/>
      <c r="D790" s="3"/>
      <c r="E790" s="8"/>
      <c r="F790" s="9"/>
      <c r="G790" s="10"/>
      <c r="H790" s="19"/>
      <c r="I790" s="19"/>
      <c r="J790" s="20"/>
    </row>
    <row r="791" spans="1:10" s="1" customFormat="1" ht="15.75" x14ac:dyDescent="0.2">
      <c r="A791" s="62"/>
      <c r="B791" s="62"/>
      <c r="C791" s="14"/>
      <c r="D791" s="3"/>
      <c r="E791" s="8"/>
      <c r="F791" s="9"/>
      <c r="G791" s="10"/>
      <c r="H791" s="19"/>
      <c r="I791" s="19"/>
      <c r="J791" s="20"/>
    </row>
    <row r="792" spans="1:10" s="1" customFormat="1" ht="15.75" x14ac:dyDescent="0.2">
      <c r="A792" s="62"/>
      <c r="B792" s="62"/>
      <c r="C792" s="14"/>
      <c r="D792" s="3"/>
      <c r="E792" s="8"/>
      <c r="F792" s="9"/>
      <c r="G792" s="10"/>
      <c r="H792" s="19"/>
      <c r="I792" s="19"/>
      <c r="J792" s="20"/>
    </row>
    <row r="793" spans="1:10" s="1" customFormat="1" ht="15.75" x14ac:dyDescent="0.2">
      <c r="A793" s="62"/>
      <c r="B793" s="62"/>
      <c r="C793" s="14"/>
      <c r="D793" s="3"/>
      <c r="E793" s="8"/>
      <c r="F793" s="9"/>
      <c r="G793" s="10"/>
      <c r="H793" s="19"/>
      <c r="I793" s="19"/>
      <c r="J793" s="20"/>
    </row>
    <row r="794" spans="1:10" s="1" customFormat="1" ht="15.75" x14ac:dyDescent="0.2">
      <c r="A794" s="62"/>
      <c r="B794" s="62"/>
      <c r="C794" s="14"/>
      <c r="D794" s="3"/>
      <c r="E794" s="8"/>
      <c r="F794" s="9"/>
      <c r="G794" s="10"/>
      <c r="H794" s="19"/>
      <c r="I794" s="19"/>
      <c r="J794" s="20"/>
    </row>
    <row r="795" spans="1:10" s="1" customFormat="1" ht="15.75" x14ac:dyDescent="0.2">
      <c r="A795" s="62"/>
      <c r="B795" s="62"/>
      <c r="C795" s="14"/>
      <c r="D795" s="3"/>
      <c r="E795" s="8"/>
      <c r="F795" s="9"/>
      <c r="G795" s="10"/>
      <c r="H795" s="19"/>
      <c r="I795" s="19"/>
      <c r="J795" s="20"/>
    </row>
    <row r="796" spans="1:10" s="1" customFormat="1" ht="15.75" x14ac:dyDescent="0.2">
      <c r="A796" s="62"/>
      <c r="B796" s="62"/>
      <c r="C796" s="14"/>
      <c r="D796" s="3"/>
      <c r="E796" s="8"/>
      <c r="F796" s="9"/>
      <c r="G796" s="10"/>
      <c r="H796" s="19"/>
      <c r="I796" s="19"/>
      <c r="J796" s="20"/>
    </row>
    <row r="797" spans="1:10" s="1" customFormat="1" ht="15.75" x14ac:dyDescent="0.2">
      <c r="A797" s="62"/>
      <c r="B797" s="62"/>
      <c r="C797" s="14"/>
      <c r="D797" s="3"/>
      <c r="E797" s="8"/>
      <c r="F797" s="9"/>
      <c r="G797" s="10"/>
      <c r="H797" s="19"/>
      <c r="I797" s="19"/>
      <c r="J797" s="20"/>
    </row>
    <row r="798" spans="1:10" s="1" customFormat="1" ht="15.75" x14ac:dyDescent="0.2">
      <c r="A798" s="62"/>
      <c r="B798" s="62"/>
      <c r="C798" s="14"/>
      <c r="D798" s="3"/>
      <c r="E798" s="8"/>
      <c r="F798" s="9"/>
      <c r="G798" s="10"/>
      <c r="H798" s="19"/>
      <c r="I798" s="19"/>
      <c r="J798" s="20"/>
    </row>
    <row r="799" spans="1:10" s="1" customFormat="1" ht="15.75" x14ac:dyDescent="0.2">
      <c r="A799" s="62"/>
      <c r="B799" s="62"/>
      <c r="C799" s="14"/>
      <c r="D799" s="3"/>
      <c r="E799" s="8"/>
      <c r="F799" s="9"/>
      <c r="G799" s="10"/>
      <c r="H799" s="19"/>
      <c r="I799" s="19"/>
      <c r="J799" s="20"/>
    </row>
    <row r="800" spans="1:10" s="1" customFormat="1" ht="15.75" x14ac:dyDescent="0.2">
      <c r="A800" s="62"/>
      <c r="B800" s="62"/>
      <c r="C800" s="14"/>
      <c r="D800" s="3"/>
      <c r="E800" s="8"/>
      <c r="F800" s="9"/>
      <c r="G800" s="10"/>
      <c r="H800" s="19"/>
      <c r="I800" s="19"/>
      <c r="J800" s="20"/>
    </row>
    <row r="801" spans="1:10" s="1" customFormat="1" ht="15.75" x14ac:dyDescent="0.2">
      <c r="A801" s="62"/>
      <c r="B801" s="62"/>
      <c r="C801" s="14"/>
      <c r="D801" s="3"/>
      <c r="E801" s="8"/>
      <c r="F801" s="9"/>
      <c r="G801" s="10"/>
      <c r="H801" s="19"/>
      <c r="I801" s="19"/>
      <c r="J801" s="20"/>
    </row>
    <row r="802" spans="1:10" s="1" customFormat="1" ht="15.75" x14ac:dyDescent="0.2">
      <c r="A802" s="62"/>
      <c r="B802" s="62"/>
      <c r="C802" s="14"/>
      <c r="D802" s="3"/>
      <c r="E802" s="8"/>
      <c r="F802" s="9"/>
      <c r="G802" s="10"/>
      <c r="H802" s="19"/>
      <c r="I802" s="19"/>
      <c r="J802" s="20"/>
    </row>
    <row r="803" spans="1:10" s="1" customFormat="1" ht="15.75" x14ac:dyDescent="0.2">
      <c r="A803" s="62"/>
      <c r="B803" s="62"/>
      <c r="C803" s="14"/>
      <c r="D803" s="3"/>
      <c r="E803" s="8"/>
      <c r="F803" s="9"/>
      <c r="G803" s="10"/>
      <c r="H803" s="19"/>
      <c r="I803" s="19"/>
      <c r="J803" s="20"/>
    </row>
    <row r="804" spans="1:10" s="1" customFormat="1" ht="15.75" x14ac:dyDescent="0.2">
      <c r="A804" s="62"/>
      <c r="B804" s="62"/>
      <c r="C804" s="14"/>
      <c r="D804" s="3"/>
      <c r="E804" s="8"/>
      <c r="F804" s="9"/>
      <c r="G804" s="10"/>
      <c r="H804" s="19"/>
      <c r="I804" s="19"/>
      <c r="J804" s="20"/>
    </row>
    <row r="805" spans="1:10" s="1" customFormat="1" ht="15.75" x14ac:dyDescent="0.2">
      <c r="A805" s="62"/>
      <c r="B805" s="62"/>
      <c r="C805" s="14"/>
      <c r="D805" s="3"/>
      <c r="E805" s="8"/>
      <c r="F805" s="9"/>
      <c r="G805" s="10"/>
      <c r="H805" s="19"/>
      <c r="I805" s="19"/>
      <c r="J805" s="20"/>
    </row>
    <row r="806" spans="1:10" s="1" customFormat="1" ht="15.75" x14ac:dyDescent="0.2">
      <c r="A806" s="62"/>
      <c r="B806" s="62"/>
      <c r="C806" s="14"/>
      <c r="D806" s="3"/>
      <c r="E806" s="8"/>
      <c r="F806" s="9"/>
      <c r="G806" s="10"/>
      <c r="H806" s="19"/>
      <c r="I806" s="19"/>
      <c r="J806" s="20"/>
    </row>
    <row r="807" spans="1:10" s="1" customFormat="1" ht="15.75" x14ac:dyDescent="0.2">
      <c r="A807" s="62"/>
      <c r="B807" s="62"/>
      <c r="C807" s="14"/>
      <c r="D807" s="3"/>
      <c r="E807" s="8"/>
      <c r="F807" s="9"/>
      <c r="G807" s="10"/>
      <c r="H807" s="19"/>
      <c r="I807" s="19"/>
      <c r="J807" s="20"/>
    </row>
    <row r="808" spans="1:10" s="1" customFormat="1" ht="15.75" x14ac:dyDescent="0.2">
      <c r="A808" s="62"/>
      <c r="B808" s="62"/>
      <c r="C808" s="14"/>
      <c r="D808" s="3"/>
      <c r="E808" s="8"/>
      <c r="F808" s="9"/>
      <c r="G808" s="10"/>
      <c r="H808" s="19"/>
      <c r="I808" s="19"/>
      <c r="J808" s="20"/>
    </row>
    <row r="809" spans="1:10" s="1" customFormat="1" ht="15.75" x14ac:dyDescent="0.2">
      <c r="A809" s="62"/>
      <c r="B809" s="62"/>
      <c r="C809" s="14"/>
      <c r="D809" s="3"/>
      <c r="E809" s="8"/>
      <c r="F809" s="9"/>
      <c r="G809" s="10"/>
      <c r="H809" s="19"/>
      <c r="I809" s="19"/>
      <c r="J809" s="20"/>
    </row>
    <row r="810" spans="1:10" s="1" customFormat="1" ht="15.75" x14ac:dyDescent="0.2">
      <c r="A810" s="62"/>
      <c r="B810" s="62"/>
      <c r="C810" s="14"/>
      <c r="D810" s="3"/>
      <c r="E810" s="8"/>
      <c r="F810" s="9"/>
      <c r="G810" s="10"/>
      <c r="H810" s="19"/>
      <c r="I810" s="19"/>
      <c r="J810" s="20"/>
    </row>
    <row r="811" spans="1:10" s="1" customFormat="1" ht="15.75" x14ac:dyDescent="0.2">
      <c r="A811" s="62"/>
      <c r="B811" s="62"/>
      <c r="C811" s="14"/>
      <c r="D811" s="3"/>
      <c r="E811" s="8"/>
      <c r="F811" s="9"/>
      <c r="G811" s="10"/>
      <c r="H811" s="19"/>
      <c r="I811" s="19"/>
      <c r="J811" s="20"/>
    </row>
    <row r="812" spans="1:10" s="1" customFormat="1" ht="15.75" x14ac:dyDescent="0.2">
      <c r="A812" s="62"/>
      <c r="B812" s="62"/>
      <c r="C812" s="14"/>
      <c r="D812" s="3"/>
      <c r="E812" s="8"/>
      <c r="F812" s="9"/>
      <c r="G812" s="10"/>
      <c r="H812" s="19"/>
      <c r="I812" s="19"/>
      <c r="J812" s="20"/>
    </row>
    <row r="813" spans="1:10" s="1" customFormat="1" ht="15.75" x14ac:dyDescent="0.2">
      <c r="A813" s="62"/>
      <c r="B813" s="62"/>
      <c r="C813" s="14"/>
      <c r="D813" s="3"/>
      <c r="E813" s="8"/>
      <c r="F813" s="9"/>
      <c r="G813" s="10"/>
      <c r="H813" s="19"/>
      <c r="I813" s="19"/>
      <c r="J813" s="20"/>
    </row>
    <row r="814" spans="1:10" s="1" customFormat="1" ht="15.75" x14ac:dyDescent="0.2">
      <c r="A814" s="62"/>
      <c r="B814" s="62"/>
      <c r="C814" s="14"/>
      <c r="D814" s="3"/>
      <c r="E814" s="8"/>
      <c r="F814" s="9"/>
      <c r="G814" s="10"/>
      <c r="H814" s="19"/>
      <c r="I814" s="19"/>
      <c r="J814" s="20"/>
    </row>
    <row r="815" spans="1:10" s="1" customFormat="1" ht="15.75" x14ac:dyDescent="0.2">
      <c r="A815" s="62"/>
      <c r="B815" s="62"/>
      <c r="C815" s="14"/>
      <c r="D815" s="3"/>
      <c r="E815" s="8"/>
      <c r="F815" s="9"/>
      <c r="G815" s="10"/>
      <c r="H815" s="19"/>
      <c r="I815" s="19"/>
      <c r="J815" s="20"/>
    </row>
    <row r="816" spans="1:10" s="1" customFormat="1" ht="15.75" x14ac:dyDescent="0.2">
      <c r="A816" s="62"/>
      <c r="B816" s="62"/>
      <c r="C816" s="14"/>
      <c r="D816" s="3"/>
      <c r="E816" s="8"/>
      <c r="F816" s="9"/>
      <c r="G816" s="10"/>
      <c r="H816" s="19"/>
      <c r="I816" s="19"/>
      <c r="J816" s="20"/>
    </row>
    <row r="817" spans="1:10" s="1" customFormat="1" ht="15.75" x14ac:dyDescent="0.2">
      <c r="A817" s="62"/>
      <c r="B817" s="62"/>
      <c r="C817" s="14"/>
      <c r="D817" s="3"/>
      <c r="E817" s="8"/>
      <c r="F817" s="9"/>
      <c r="G817" s="10"/>
      <c r="H817" s="19"/>
      <c r="I817" s="19"/>
      <c r="J817" s="20"/>
    </row>
    <row r="818" spans="1:10" s="1" customFormat="1" ht="15.75" x14ac:dyDescent="0.2">
      <c r="A818" s="62"/>
      <c r="B818" s="62"/>
      <c r="C818" s="14"/>
      <c r="D818" s="3"/>
      <c r="E818" s="8"/>
      <c r="F818" s="9"/>
      <c r="G818" s="10"/>
      <c r="H818" s="19"/>
      <c r="I818" s="19"/>
      <c r="J818" s="20"/>
    </row>
    <row r="819" spans="1:10" s="1" customFormat="1" ht="15.75" x14ac:dyDescent="0.2">
      <c r="A819" s="62"/>
      <c r="B819" s="62"/>
      <c r="C819" s="14"/>
      <c r="D819" s="3"/>
      <c r="E819" s="8"/>
      <c r="F819" s="9"/>
      <c r="G819" s="10"/>
      <c r="H819" s="19"/>
      <c r="I819" s="19"/>
      <c r="J819" s="20"/>
    </row>
    <row r="820" spans="1:10" s="1" customFormat="1" ht="15.75" x14ac:dyDescent="0.2">
      <c r="A820" s="62"/>
      <c r="B820" s="62"/>
      <c r="C820" s="14"/>
      <c r="D820" s="3"/>
      <c r="E820" s="8"/>
      <c r="F820" s="9"/>
      <c r="G820" s="10"/>
      <c r="H820" s="19"/>
      <c r="I820" s="19"/>
      <c r="J820" s="20"/>
    </row>
    <row r="821" spans="1:10" s="1" customFormat="1" ht="15.75" x14ac:dyDescent="0.2">
      <c r="A821" s="62"/>
      <c r="B821" s="62"/>
      <c r="C821" s="14"/>
      <c r="D821" s="3"/>
      <c r="E821" s="8"/>
      <c r="F821" s="9"/>
      <c r="G821" s="10"/>
      <c r="H821" s="19"/>
      <c r="I821" s="19"/>
      <c r="J821" s="20"/>
    </row>
    <row r="822" spans="1:10" s="1" customFormat="1" ht="15.75" x14ac:dyDescent="0.2">
      <c r="A822" s="62"/>
      <c r="B822" s="62"/>
      <c r="C822" s="14"/>
      <c r="D822" s="3"/>
      <c r="E822" s="8"/>
      <c r="F822" s="9"/>
      <c r="G822" s="10"/>
      <c r="H822" s="19"/>
      <c r="I822" s="19"/>
      <c r="J822" s="20"/>
    </row>
    <row r="823" spans="1:10" s="1" customFormat="1" ht="15.75" x14ac:dyDescent="0.2">
      <c r="A823" s="62"/>
      <c r="B823" s="62"/>
      <c r="C823" s="14"/>
      <c r="D823" s="3"/>
      <c r="E823" s="8"/>
      <c r="F823" s="9"/>
      <c r="G823" s="10"/>
      <c r="H823" s="19"/>
      <c r="I823" s="19"/>
      <c r="J823" s="20"/>
    </row>
    <row r="824" spans="1:10" s="1" customFormat="1" ht="15.75" x14ac:dyDescent="0.2">
      <c r="A824" s="62"/>
      <c r="B824" s="62"/>
      <c r="C824" s="14"/>
      <c r="D824" s="3"/>
      <c r="E824" s="8"/>
      <c r="F824" s="9"/>
      <c r="G824" s="10"/>
      <c r="H824" s="19"/>
      <c r="I824" s="19"/>
      <c r="J824" s="20"/>
    </row>
    <row r="825" spans="1:10" s="1" customFormat="1" ht="15.75" x14ac:dyDescent="0.2">
      <c r="A825" s="62"/>
      <c r="B825" s="62"/>
      <c r="C825" s="14"/>
      <c r="D825" s="3"/>
      <c r="E825" s="8"/>
      <c r="F825" s="9"/>
      <c r="G825" s="10"/>
      <c r="H825" s="19"/>
      <c r="I825" s="19"/>
      <c r="J825" s="20"/>
    </row>
    <row r="826" spans="1:10" s="1" customFormat="1" ht="15.75" x14ac:dyDescent="0.2">
      <c r="A826" s="62"/>
      <c r="B826" s="62"/>
      <c r="C826" s="14"/>
      <c r="D826" s="3"/>
      <c r="E826" s="8"/>
      <c r="F826" s="9"/>
      <c r="G826" s="10"/>
      <c r="H826" s="19"/>
      <c r="I826" s="19"/>
      <c r="J826" s="20"/>
    </row>
    <row r="827" spans="1:10" s="1" customFormat="1" ht="15.75" x14ac:dyDescent="0.2">
      <c r="A827" s="62"/>
      <c r="B827" s="62"/>
      <c r="C827" s="14"/>
      <c r="D827" s="3"/>
      <c r="E827" s="8"/>
      <c r="F827" s="9"/>
      <c r="G827" s="10"/>
      <c r="H827" s="19"/>
      <c r="I827" s="19"/>
      <c r="J827" s="20"/>
    </row>
    <row r="828" spans="1:10" s="1" customFormat="1" ht="15.75" x14ac:dyDescent="0.2">
      <c r="A828" s="62"/>
      <c r="B828" s="62"/>
      <c r="C828" s="14"/>
      <c r="D828" s="3"/>
      <c r="E828" s="8"/>
      <c r="F828" s="9"/>
      <c r="G828" s="10"/>
      <c r="H828" s="19"/>
      <c r="I828" s="19"/>
      <c r="J828" s="20"/>
    </row>
    <row r="829" spans="1:10" s="1" customFormat="1" ht="15.75" x14ac:dyDescent="0.2">
      <c r="A829" s="62"/>
      <c r="B829" s="62"/>
      <c r="C829" s="14"/>
      <c r="D829" s="3"/>
      <c r="E829" s="8"/>
      <c r="F829" s="9"/>
      <c r="G829" s="10"/>
      <c r="H829" s="19"/>
      <c r="I829" s="19"/>
      <c r="J829" s="20"/>
    </row>
    <row r="830" spans="1:10" s="1" customFormat="1" ht="15.75" x14ac:dyDescent="0.2">
      <c r="A830" s="62"/>
      <c r="B830" s="62"/>
      <c r="C830" s="14"/>
      <c r="D830" s="3"/>
      <c r="E830" s="8"/>
      <c r="F830" s="9"/>
      <c r="G830" s="10"/>
      <c r="H830" s="19"/>
      <c r="I830" s="19"/>
      <c r="J830" s="20"/>
    </row>
    <row r="831" spans="1:10" s="1" customFormat="1" ht="15.75" x14ac:dyDescent="0.2">
      <c r="A831" s="62"/>
      <c r="B831" s="62"/>
      <c r="C831" s="14"/>
      <c r="D831" s="3"/>
      <c r="E831" s="8"/>
      <c r="F831" s="9"/>
      <c r="G831" s="10"/>
      <c r="H831" s="19"/>
      <c r="I831" s="19"/>
      <c r="J831" s="20"/>
    </row>
    <row r="832" spans="1:10" s="1" customFormat="1" ht="15.75" x14ac:dyDescent="0.2">
      <c r="A832" s="62"/>
      <c r="B832" s="62"/>
      <c r="C832" s="14"/>
      <c r="D832" s="3"/>
      <c r="E832" s="8"/>
      <c r="F832" s="9"/>
      <c r="G832" s="10"/>
      <c r="H832" s="19"/>
      <c r="I832" s="19"/>
      <c r="J832" s="20"/>
    </row>
    <row r="833" spans="1:10" s="1" customFormat="1" ht="15.75" x14ac:dyDescent="0.2">
      <c r="A833" s="62"/>
      <c r="B833" s="62"/>
      <c r="C833" s="14"/>
      <c r="D833" s="3"/>
      <c r="E833" s="8"/>
      <c r="F833" s="9"/>
      <c r="G833" s="10"/>
      <c r="H833" s="19"/>
      <c r="I833" s="19"/>
      <c r="J833" s="20"/>
    </row>
    <row r="834" spans="1:10" s="1" customFormat="1" ht="15.75" x14ac:dyDescent="0.2">
      <c r="A834" s="62"/>
      <c r="B834" s="62"/>
      <c r="C834" s="14"/>
      <c r="D834" s="3"/>
      <c r="E834" s="8"/>
      <c r="F834" s="9"/>
      <c r="G834" s="10"/>
      <c r="H834" s="19"/>
      <c r="I834" s="19"/>
      <c r="J834" s="20"/>
    </row>
    <row r="835" spans="1:10" s="1" customFormat="1" ht="15.75" x14ac:dyDescent="0.2">
      <c r="A835" s="62"/>
      <c r="B835" s="62"/>
      <c r="C835" s="14"/>
      <c r="D835" s="3"/>
      <c r="E835" s="8"/>
      <c r="F835" s="9"/>
      <c r="G835" s="10"/>
      <c r="H835" s="19"/>
      <c r="I835" s="19"/>
      <c r="J835" s="20"/>
    </row>
    <row r="836" spans="1:10" s="1" customFormat="1" ht="15.75" x14ac:dyDescent="0.2">
      <c r="A836" s="62"/>
      <c r="B836" s="62"/>
      <c r="C836" s="14"/>
      <c r="D836" s="3"/>
      <c r="E836" s="8"/>
      <c r="F836" s="9"/>
      <c r="G836" s="10"/>
      <c r="H836" s="19"/>
      <c r="I836" s="19"/>
      <c r="J836" s="20"/>
    </row>
    <row r="837" spans="1:10" s="1" customFormat="1" ht="15.75" x14ac:dyDescent="0.2">
      <c r="A837" s="62"/>
      <c r="B837" s="62"/>
      <c r="C837" s="14"/>
      <c r="D837" s="3"/>
      <c r="E837" s="8"/>
      <c r="F837" s="9"/>
      <c r="G837" s="10"/>
      <c r="H837" s="19"/>
      <c r="I837" s="19"/>
      <c r="J837" s="20"/>
    </row>
    <row r="838" spans="1:10" s="1" customFormat="1" ht="15.75" x14ac:dyDescent="0.2">
      <c r="A838" s="62"/>
      <c r="B838" s="62"/>
      <c r="C838" s="14"/>
      <c r="D838" s="3"/>
      <c r="E838" s="8"/>
      <c r="F838" s="9"/>
      <c r="G838" s="10"/>
      <c r="H838" s="19"/>
      <c r="I838" s="19"/>
      <c r="J838" s="20"/>
    </row>
    <row r="839" spans="1:10" s="1" customFormat="1" ht="15.75" x14ac:dyDescent="0.2">
      <c r="A839" s="62"/>
      <c r="B839" s="62"/>
      <c r="C839" s="14"/>
      <c r="D839" s="3"/>
      <c r="E839" s="8"/>
      <c r="F839" s="9"/>
      <c r="G839" s="10"/>
      <c r="H839" s="19"/>
      <c r="I839" s="19"/>
      <c r="J839" s="20"/>
    </row>
    <row r="840" spans="1:10" s="1" customFormat="1" ht="15.75" x14ac:dyDescent="0.2">
      <c r="A840" s="62"/>
      <c r="B840" s="62"/>
      <c r="C840" s="14"/>
      <c r="D840" s="3"/>
      <c r="E840" s="8"/>
      <c r="F840" s="9"/>
      <c r="G840" s="10"/>
      <c r="H840" s="19"/>
      <c r="I840" s="19"/>
      <c r="J840" s="20"/>
    </row>
    <row r="841" spans="1:10" s="1" customFormat="1" ht="15.75" x14ac:dyDescent="0.2">
      <c r="A841" s="62"/>
      <c r="B841" s="62"/>
      <c r="C841" s="14"/>
      <c r="D841" s="3"/>
      <c r="E841" s="8"/>
      <c r="F841" s="9"/>
      <c r="G841" s="10"/>
      <c r="H841" s="19"/>
      <c r="I841" s="19"/>
      <c r="J841" s="20"/>
    </row>
    <row r="842" spans="1:10" s="1" customFormat="1" ht="15.75" x14ac:dyDescent="0.2">
      <c r="A842" s="62"/>
      <c r="B842" s="62"/>
      <c r="C842" s="14"/>
      <c r="D842" s="3"/>
      <c r="E842" s="8"/>
      <c r="F842" s="9"/>
      <c r="G842" s="10"/>
      <c r="H842" s="19"/>
      <c r="I842" s="19"/>
      <c r="J842" s="20"/>
    </row>
    <row r="843" spans="1:10" s="1" customFormat="1" ht="15.75" x14ac:dyDescent="0.2">
      <c r="A843" s="62"/>
      <c r="B843" s="62"/>
      <c r="C843" s="14"/>
      <c r="D843" s="3"/>
      <c r="E843" s="8"/>
      <c r="F843" s="9"/>
      <c r="G843" s="10"/>
      <c r="H843" s="19"/>
      <c r="I843" s="19"/>
      <c r="J843" s="20"/>
    </row>
    <row r="844" spans="1:10" s="1" customFormat="1" ht="15.75" x14ac:dyDescent="0.2">
      <c r="A844" s="62"/>
      <c r="B844" s="62"/>
      <c r="C844" s="14"/>
      <c r="D844" s="3"/>
      <c r="E844" s="8"/>
      <c r="F844" s="9"/>
      <c r="G844" s="10"/>
      <c r="H844" s="19"/>
      <c r="I844" s="19"/>
      <c r="J844" s="20"/>
    </row>
    <row r="845" spans="1:10" s="1" customFormat="1" ht="15.75" x14ac:dyDescent="0.2">
      <c r="A845" s="62"/>
      <c r="B845" s="62"/>
      <c r="C845" s="14"/>
      <c r="D845" s="3"/>
      <c r="E845" s="8"/>
      <c r="F845" s="9"/>
      <c r="G845" s="10"/>
      <c r="H845" s="19"/>
      <c r="I845" s="19"/>
      <c r="J845" s="20"/>
    </row>
    <row r="846" spans="1:10" s="1" customFormat="1" ht="15.75" x14ac:dyDescent="0.2">
      <c r="A846" s="62"/>
      <c r="B846" s="62"/>
      <c r="C846" s="14"/>
      <c r="D846" s="3"/>
      <c r="E846" s="8"/>
      <c r="F846" s="9"/>
      <c r="G846" s="10"/>
      <c r="H846" s="19"/>
      <c r="I846" s="19"/>
      <c r="J846" s="20"/>
    </row>
    <row r="847" spans="1:10" s="1" customFormat="1" ht="15.75" x14ac:dyDescent="0.2">
      <c r="A847" s="62"/>
      <c r="B847" s="62"/>
      <c r="C847" s="14"/>
      <c r="D847" s="3"/>
      <c r="E847" s="8"/>
      <c r="F847" s="9"/>
      <c r="G847" s="10"/>
      <c r="H847" s="19"/>
      <c r="I847" s="19"/>
      <c r="J847" s="20"/>
    </row>
    <row r="848" spans="1:10" s="1" customFormat="1" ht="15.75" x14ac:dyDescent="0.2">
      <c r="A848" s="62"/>
      <c r="B848" s="62"/>
      <c r="C848" s="14"/>
      <c r="D848" s="3"/>
      <c r="E848" s="8"/>
      <c r="F848" s="9"/>
      <c r="G848" s="10"/>
      <c r="H848" s="19"/>
      <c r="I848" s="19"/>
      <c r="J848" s="20"/>
    </row>
    <row r="849" spans="1:10" s="1" customFormat="1" ht="15.75" x14ac:dyDescent="0.2">
      <c r="A849" s="62"/>
      <c r="B849" s="62"/>
      <c r="C849" s="14"/>
      <c r="D849" s="3"/>
      <c r="E849" s="8"/>
      <c r="F849" s="9"/>
      <c r="G849" s="10"/>
      <c r="H849" s="19"/>
      <c r="I849" s="19"/>
      <c r="J849" s="20"/>
    </row>
    <row r="850" spans="1:10" s="1" customFormat="1" ht="15.75" x14ac:dyDescent="0.2">
      <c r="A850" s="62"/>
      <c r="B850" s="62"/>
      <c r="C850" s="14"/>
      <c r="D850" s="3"/>
      <c r="E850" s="8"/>
      <c r="F850" s="9"/>
      <c r="G850" s="10"/>
      <c r="H850" s="19"/>
      <c r="I850" s="19"/>
      <c r="J850" s="20"/>
    </row>
    <row r="851" spans="1:10" s="1" customFormat="1" ht="15.75" x14ac:dyDescent="0.2">
      <c r="A851" s="62"/>
      <c r="B851" s="62"/>
      <c r="C851" s="14"/>
      <c r="D851" s="3"/>
      <c r="E851" s="8"/>
      <c r="F851" s="9"/>
      <c r="G851" s="10"/>
      <c r="H851" s="19"/>
      <c r="I851" s="19"/>
      <c r="J851" s="20"/>
    </row>
    <row r="852" spans="1:10" s="1" customFormat="1" ht="15.75" x14ac:dyDescent="0.2">
      <c r="A852" s="62"/>
      <c r="B852" s="62"/>
      <c r="C852" s="14"/>
      <c r="D852" s="3"/>
      <c r="E852" s="8"/>
      <c r="F852" s="9"/>
      <c r="G852" s="10"/>
      <c r="H852" s="19"/>
      <c r="I852" s="19"/>
      <c r="J852" s="20"/>
    </row>
    <row r="853" spans="1:10" s="1" customFormat="1" ht="15.75" x14ac:dyDescent="0.2">
      <c r="A853" s="62"/>
      <c r="B853" s="62"/>
      <c r="C853" s="14"/>
      <c r="D853" s="3"/>
      <c r="E853" s="8"/>
      <c r="F853" s="9"/>
      <c r="G853" s="10"/>
      <c r="H853" s="19"/>
      <c r="I853" s="19"/>
      <c r="J853" s="20"/>
    </row>
    <row r="854" spans="1:10" s="1" customFormat="1" ht="15.75" x14ac:dyDescent="0.2">
      <c r="A854" s="62"/>
      <c r="B854" s="62"/>
      <c r="C854" s="14"/>
      <c r="D854" s="3"/>
      <c r="E854" s="8"/>
      <c r="F854" s="9"/>
      <c r="G854" s="10"/>
      <c r="H854" s="19"/>
      <c r="I854" s="19"/>
      <c r="J854" s="20"/>
    </row>
    <row r="855" spans="1:10" s="1" customFormat="1" ht="15.75" x14ac:dyDescent="0.2">
      <c r="A855" s="62"/>
      <c r="B855" s="62"/>
      <c r="C855" s="14"/>
      <c r="D855" s="3"/>
      <c r="E855" s="8"/>
      <c r="F855" s="9"/>
      <c r="G855" s="10"/>
      <c r="H855" s="19"/>
      <c r="I855" s="19"/>
      <c r="J855" s="20"/>
    </row>
    <row r="856" spans="1:10" s="1" customFormat="1" ht="15.75" x14ac:dyDescent="0.2">
      <c r="A856" s="62"/>
      <c r="B856" s="62"/>
      <c r="C856" s="14"/>
      <c r="D856" s="3"/>
      <c r="E856" s="8"/>
      <c r="F856" s="9"/>
      <c r="G856" s="10"/>
      <c r="H856" s="19"/>
      <c r="I856" s="19"/>
      <c r="J856" s="20"/>
    </row>
    <row r="857" spans="1:10" s="1" customFormat="1" ht="15.75" x14ac:dyDescent="0.2">
      <c r="A857" s="62"/>
      <c r="B857" s="62"/>
      <c r="C857" s="14"/>
      <c r="D857" s="3"/>
      <c r="E857" s="8"/>
      <c r="F857" s="9"/>
      <c r="G857" s="10"/>
      <c r="H857" s="19"/>
      <c r="I857" s="19"/>
      <c r="J857" s="20"/>
    </row>
    <row r="858" spans="1:10" s="1" customFormat="1" ht="15.75" x14ac:dyDescent="0.2">
      <c r="A858" s="62"/>
      <c r="B858" s="62"/>
      <c r="C858" s="14"/>
      <c r="D858" s="3"/>
      <c r="E858" s="8"/>
      <c r="F858" s="9"/>
      <c r="G858" s="10"/>
      <c r="H858" s="19"/>
      <c r="I858" s="19"/>
      <c r="J858" s="20"/>
    </row>
    <row r="859" spans="1:10" s="1" customFormat="1" ht="15.75" x14ac:dyDescent="0.2">
      <c r="A859" s="62"/>
      <c r="B859" s="62"/>
      <c r="C859" s="14"/>
      <c r="D859" s="3"/>
      <c r="E859" s="8"/>
      <c r="F859" s="9"/>
      <c r="G859" s="10"/>
      <c r="H859" s="19"/>
      <c r="I859" s="19"/>
      <c r="J859" s="20"/>
    </row>
    <row r="860" spans="1:10" s="1" customFormat="1" ht="15.75" x14ac:dyDescent="0.2">
      <c r="A860" s="62"/>
      <c r="B860" s="62"/>
      <c r="C860" s="14"/>
      <c r="D860" s="3"/>
      <c r="E860" s="8"/>
      <c r="F860" s="9"/>
      <c r="G860" s="10"/>
      <c r="H860" s="19"/>
      <c r="I860" s="19"/>
      <c r="J860" s="20"/>
    </row>
    <row r="861" spans="1:10" s="1" customFormat="1" ht="15.75" x14ac:dyDescent="0.2">
      <c r="A861" s="62"/>
      <c r="B861" s="62"/>
      <c r="C861" s="14"/>
      <c r="D861" s="3"/>
      <c r="E861" s="8"/>
      <c r="F861" s="9"/>
      <c r="G861" s="10"/>
      <c r="H861" s="19"/>
      <c r="I861" s="19"/>
      <c r="J861" s="20"/>
    </row>
    <row r="862" spans="1:10" s="1" customFormat="1" ht="15.75" x14ac:dyDescent="0.2">
      <c r="A862" s="62"/>
      <c r="B862" s="62"/>
      <c r="C862" s="14"/>
      <c r="D862" s="3"/>
      <c r="E862" s="8"/>
      <c r="F862" s="9"/>
      <c r="G862" s="10"/>
      <c r="H862" s="19"/>
      <c r="I862" s="19"/>
      <c r="J862" s="20"/>
    </row>
    <row r="863" spans="1:10" s="1" customFormat="1" ht="15.75" x14ac:dyDescent="0.2">
      <c r="A863" s="62"/>
      <c r="B863" s="62"/>
      <c r="C863" s="14"/>
      <c r="D863" s="3"/>
      <c r="E863" s="8"/>
      <c r="F863" s="9"/>
      <c r="G863" s="10"/>
      <c r="H863" s="19"/>
      <c r="I863" s="19"/>
      <c r="J863" s="20"/>
    </row>
    <row r="864" spans="1:10" s="1" customFormat="1" ht="15.75" x14ac:dyDescent="0.2">
      <c r="A864" s="62"/>
      <c r="B864" s="62"/>
      <c r="C864" s="14"/>
      <c r="D864" s="3"/>
      <c r="E864" s="8"/>
      <c r="F864" s="9"/>
      <c r="G864" s="10"/>
      <c r="H864" s="19"/>
      <c r="I864" s="19"/>
      <c r="J864" s="20"/>
    </row>
    <row r="865" spans="1:10" s="1" customFormat="1" ht="15.75" x14ac:dyDescent="0.2">
      <c r="A865" s="62"/>
      <c r="B865" s="62"/>
      <c r="C865" s="14"/>
      <c r="D865" s="3"/>
      <c r="E865" s="8"/>
      <c r="F865" s="9"/>
      <c r="G865" s="10"/>
      <c r="H865" s="19"/>
      <c r="I865" s="19"/>
      <c r="J865" s="20"/>
    </row>
    <row r="866" spans="1:10" s="1" customFormat="1" ht="15.75" x14ac:dyDescent="0.2">
      <c r="A866" s="62"/>
      <c r="B866" s="62"/>
      <c r="C866" s="14"/>
      <c r="D866" s="3"/>
      <c r="E866" s="8"/>
      <c r="F866" s="9"/>
      <c r="G866" s="10"/>
      <c r="H866" s="19"/>
      <c r="I866" s="19"/>
      <c r="J866" s="20"/>
    </row>
    <row r="867" spans="1:10" s="1" customFormat="1" ht="15.75" x14ac:dyDescent="0.2">
      <c r="A867" s="62"/>
      <c r="B867" s="62"/>
      <c r="C867" s="14"/>
      <c r="D867" s="3"/>
      <c r="E867" s="8"/>
      <c r="F867" s="9"/>
      <c r="G867" s="10"/>
      <c r="H867" s="19"/>
      <c r="I867" s="19"/>
      <c r="J867" s="20"/>
    </row>
    <row r="868" spans="1:10" s="1" customFormat="1" ht="15.75" x14ac:dyDescent="0.2">
      <c r="A868" s="62"/>
      <c r="B868" s="62"/>
      <c r="C868" s="14"/>
      <c r="D868" s="3"/>
      <c r="E868" s="8"/>
      <c r="F868" s="9"/>
      <c r="G868" s="10"/>
      <c r="H868" s="19"/>
      <c r="I868" s="19"/>
      <c r="J868" s="20"/>
    </row>
    <row r="869" spans="1:10" s="1" customFormat="1" ht="15.75" x14ac:dyDescent="0.2">
      <c r="A869" s="62"/>
      <c r="B869" s="62"/>
      <c r="C869" s="14"/>
      <c r="D869" s="3"/>
      <c r="E869" s="8"/>
      <c r="F869" s="9"/>
      <c r="G869" s="10"/>
      <c r="H869" s="19"/>
      <c r="I869" s="19"/>
      <c r="J869" s="20"/>
    </row>
    <row r="870" spans="1:10" s="1" customFormat="1" ht="15.75" x14ac:dyDescent="0.2">
      <c r="A870" s="62"/>
      <c r="B870" s="62"/>
      <c r="C870" s="14"/>
      <c r="D870" s="3"/>
      <c r="E870" s="8"/>
      <c r="F870" s="9"/>
      <c r="G870" s="10"/>
      <c r="H870" s="19"/>
      <c r="I870" s="19"/>
      <c r="J870" s="20"/>
    </row>
    <row r="871" spans="1:10" s="1" customFormat="1" ht="15.75" x14ac:dyDescent="0.2">
      <c r="A871" s="62"/>
      <c r="B871" s="62"/>
      <c r="C871" s="14"/>
      <c r="D871" s="3"/>
      <c r="E871" s="8"/>
      <c r="F871" s="9"/>
      <c r="G871" s="10"/>
      <c r="H871" s="19"/>
      <c r="I871" s="19"/>
      <c r="J871" s="20"/>
    </row>
    <row r="872" spans="1:10" s="1" customFormat="1" ht="15.75" x14ac:dyDescent="0.2">
      <c r="A872" s="62"/>
      <c r="B872" s="62"/>
      <c r="C872" s="14"/>
      <c r="D872" s="3"/>
      <c r="E872" s="8"/>
      <c r="F872" s="9"/>
      <c r="G872" s="10"/>
      <c r="H872" s="19"/>
      <c r="I872" s="19"/>
      <c r="J872" s="20"/>
    </row>
    <row r="873" spans="1:10" s="1" customFormat="1" ht="15.75" x14ac:dyDescent="0.2">
      <c r="A873" s="62"/>
      <c r="B873" s="62"/>
      <c r="C873" s="14"/>
      <c r="D873" s="3"/>
      <c r="E873" s="8"/>
      <c r="F873" s="9"/>
      <c r="G873" s="10"/>
      <c r="H873" s="19"/>
      <c r="I873" s="19"/>
      <c r="J873" s="20"/>
    </row>
    <row r="874" spans="1:10" s="1" customFormat="1" ht="15.75" x14ac:dyDescent="0.2">
      <c r="A874" s="62"/>
      <c r="B874" s="62"/>
      <c r="C874" s="14"/>
      <c r="D874" s="3"/>
      <c r="E874" s="8"/>
      <c r="F874" s="9"/>
      <c r="G874" s="10"/>
      <c r="H874" s="19"/>
      <c r="I874" s="19"/>
      <c r="J874" s="20"/>
    </row>
    <row r="875" spans="1:10" s="1" customFormat="1" ht="15.75" x14ac:dyDescent="0.2">
      <c r="A875" s="62"/>
      <c r="B875" s="62"/>
      <c r="C875" s="14"/>
      <c r="D875" s="3"/>
      <c r="E875" s="8"/>
      <c r="F875" s="9"/>
      <c r="G875" s="10"/>
      <c r="H875" s="19"/>
      <c r="I875" s="19"/>
      <c r="J875" s="20"/>
    </row>
    <row r="876" spans="1:10" s="1" customFormat="1" ht="15.75" x14ac:dyDescent="0.2">
      <c r="A876" s="62"/>
      <c r="B876" s="62"/>
      <c r="C876" s="14"/>
      <c r="D876" s="3"/>
      <c r="E876" s="8"/>
      <c r="F876" s="9"/>
      <c r="G876" s="10"/>
      <c r="H876" s="19"/>
      <c r="I876" s="19"/>
      <c r="J876" s="20"/>
    </row>
    <row r="877" spans="1:10" s="1" customFormat="1" ht="15.75" x14ac:dyDescent="0.2">
      <c r="A877" s="62"/>
      <c r="B877" s="62"/>
      <c r="C877" s="14"/>
      <c r="D877" s="3"/>
      <c r="E877" s="8"/>
      <c r="F877" s="9"/>
      <c r="G877" s="10"/>
      <c r="H877" s="19"/>
      <c r="I877" s="19"/>
      <c r="J877" s="20"/>
    </row>
    <row r="878" spans="1:10" s="1" customFormat="1" ht="15.75" x14ac:dyDescent="0.2">
      <c r="A878" s="62"/>
      <c r="B878" s="62"/>
      <c r="C878" s="14"/>
      <c r="D878" s="3"/>
      <c r="E878" s="8"/>
      <c r="F878" s="9"/>
      <c r="G878" s="10"/>
      <c r="H878" s="19"/>
      <c r="I878" s="19"/>
      <c r="J878" s="20"/>
    </row>
    <row r="879" spans="1:10" s="1" customFormat="1" ht="15.75" x14ac:dyDescent="0.2">
      <c r="A879" s="62"/>
      <c r="B879" s="62"/>
      <c r="C879" s="14"/>
      <c r="D879" s="3"/>
      <c r="E879" s="8"/>
      <c r="F879" s="9"/>
      <c r="G879" s="10"/>
      <c r="H879" s="19"/>
      <c r="I879" s="19"/>
      <c r="J879" s="20"/>
    </row>
    <row r="880" spans="1:10" s="1" customFormat="1" ht="15.75" x14ac:dyDescent="0.2">
      <c r="A880" s="62"/>
      <c r="B880" s="62"/>
      <c r="C880" s="14"/>
      <c r="D880" s="3"/>
      <c r="E880" s="8"/>
      <c r="F880" s="9"/>
      <c r="G880" s="10"/>
      <c r="H880" s="19"/>
      <c r="I880" s="19"/>
      <c r="J880" s="20"/>
    </row>
    <row r="881" spans="1:10" s="1" customFormat="1" ht="15.75" x14ac:dyDescent="0.2">
      <c r="A881" s="62"/>
      <c r="B881" s="62"/>
      <c r="C881" s="14"/>
      <c r="D881" s="3"/>
      <c r="E881" s="8"/>
      <c r="F881" s="9"/>
      <c r="G881" s="10"/>
      <c r="H881" s="19"/>
      <c r="I881" s="19"/>
      <c r="J881" s="20"/>
    </row>
    <row r="882" spans="1:10" s="1" customFormat="1" ht="15.75" x14ac:dyDescent="0.2">
      <c r="A882" s="62"/>
      <c r="B882" s="62"/>
      <c r="C882" s="14"/>
      <c r="D882" s="3"/>
      <c r="E882" s="8"/>
      <c r="F882" s="9"/>
      <c r="G882" s="10"/>
      <c r="H882" s="19"/>
      <c r="I882" s="19"/>
      <c r="J882" s="20"/>
    </row>
    <row r="883" spans="1:10" s="1" customFormat="1" ht="15.75" x14ac:dyDescent="0.2">
      <c r="A883" s="62"/>
      <c r="B883" s="62"/>
      <c r="C883" s="14"/>
      <c r="D883" s="3"/>
      <c r="E883" s="8"/>
      <c r="F883" s="9"/>
      <c r="G883" s="10"/>
      <c r="H883" s="19"/>
      <c r="I883" s="19"/>
      <c r="J883" s="20"/>
    </row>
    <row r="884" spans="1:10" s="1" customFormat="1" ht="15.75" x14ac:dyDescent="0.2">
      <c r="A884" s="62"/>
      <c r="B884" s="62"/>
      <c r="C884" s="14"/>
      <c r="D884" s="3"/>
      <c r="E884" s="8"/>
      <c r="F884" s="9"/>
      <c r="G884" s="10"/>
      <c r="H884" s="19"/>
      <c r="I884" s="19"/>
      <c r="J884" s="20"/>
    </row>
    <row r="885" spans="1:10" s="1" customFormat="1" ht="15.75" x14ac:dyDescent="0.2">
      <c r="A885" s="62"/>
      <c r="B885" s="62"/>
      <c r="C885" s="14"/>
      <c r="D885" s="3"/>
      <c r="E885" s="8"/>
      <c r="F885" s="9"/>
      <c r="G885" s="10"/>
      <c r="H885" s="19"/>
      <c r="I885" s="19"/>
      <c r="J885" s="20"/>
    </row>
    <row r="886" spans="1:10" s="1" customFormat="1" ht="15.75" x14ac:dyDescent="0.2">
      <c r="A886" s="62"/>
      <c r="B886" s="62"/>
      <c r="C886" s="14"/>
      <c r="D886" s="3"/>
      <c r="E886" s="8"/>
      <c r="F886" s="9"/>
      <c r="G886" s="10"/>
      <c r="H886" s="19"/>
      <c r="I886" s="19"/>
      <c r="J886" s="20"/>
    </row>
    <row r="887" spans="1:10" s="1" customFormat="1" ht="15.75" x14ac:dyDescent="0.2">
      <c r="A887" s="62"/>
      <c r="B887" s="62"/>
      <c r="C887" s="14"/>
      <c r="D887" s="3"/>
      <c r="E887" s="8"/>
      <c r="F887" s="9"/>
      <c r="G887" s="10"/>
      <c r="H887" s="19"/>
      <c r="I887" s="19"/>
      <c r="J887" s="20"/>
    </row>
    <row r="888" spans="1:10" s="1" customFormat="1" ht="15.75" x14ac:dyDescent="0.2">
      <c r="A888" s="62"/>
      <c r="B888" s="62"/>
      <c r="C888" s="14"/>
      <c r="D888" s="3"/>
      <c r="E888" s="8"/>
      <c r="F888" s="9"/>
      <c r="G888" s="10"/>
      <c r="H888" s="19"/>
      <c r="I888" s="19"/>
      <c r="J888" s="20"/>
    </row>
    <row r="889" spans="1:10" s="1" customFormat="1" ht="15.75" x14ac:dyDescent="0.2">
      <c r="A889" s="62"/>
      <c r="B889" s="62"/>
      <c r="C889" s="14"/>
      <c r="D889" s="3"/>
      <c r="E889" s="8"/>
      <c r="F889" s="9"/>
      <c r="G889" s="10"/>
      <c r="H889" s="19"/>
      <c r="I889" s="19"/>
      <c r="J889" s="20"/>
    </row>
    <row r="890" spans="1:10" s="1" customFormat="1" ht="15.75" x14ac:dyDescent="0.2">
      <c r="A890" s="62"/>
      <c r="B890" s="62"/>
      <c r="C890" s="14"/>
      <c r="D890" s="3"/>
      <c r="E890" s="8"/>
      <c r="F890" s="9"/>
      <c r="G890" s="10"/>
      <c r="H890" s="19"/>
      <c r="I890" s="19"/>
      <c r="J890" s="20"/>
    </row>
    <row r="891" spans="1:10" s="1" customFormat="1" ht="15.75" x14ac:dyDescent="0.2">
      <c r="A891" s="62"/>
      <c r="B891" s="62"/>
      <c r="C891" s="14"/>
      <c r="D891" s="3"/>
      <c r="E891" s="8"/>
      <c r="F891" s="9"/>
      <c r="G891" s="10"/>
      <c r="H891" s="19"/>
      <c r="I891" s="19"/>
      <c r="J891" s="20"/>
    </row>
    <row r="892" spans="1:10" s="1" customFormat="1" ht="15.75" x14ac:dyDescent="0.2">
      <c r="A892" s="62"/>
      <c r="B892" s="62"/>
      <c r="C892" s="14"/>
      <c r="D892" s="3"/>
      <c r="E892" s="8"/>
      <c r="F892" s="9"/>
      <c r="G892" s="10"/>
      <c r="H892" s="19"/>
      <c r="I892" s="19"/>
      <c r="J892" s="20"/>
    </row>
    <row r="893" spans="1:10" s="1" customFormat="1" ht="15.75" x14ac:dyDescent="0.2">
      <c r="A893" s="62"/>
      <c r="B893" s="62"/>
      <c r="C893" s="14"/>
      <c r="D893" s="3"/>
      <c r="E893" s="8"/>
      <c r="F893" s="9"/>
      <c r="G893" s="10"/>
      <c r="H893" s="19"/>
      <c r="I893" s="19"/>
      <c r="J893" s="20"/>
    </row>
    <row r="894" spans="1:10" s="1" customFormat="1" ht="15.75" x14ac:dyDescent="0.2">
      <c r="A894" s="62"/>
      <c r="B894" s="62"/>
      <c r="C894" s="14"/>
      <c r="D894" s="3"/>
      <c r="E894" s="8"/>
      <c r="F894" s="9"/>
      <c r="G894" s="10"/>
      <c r="H894" s="19"/>
      <c r="I894" s="19"/>
      <c r="J894" s="20"/>
    </row>
    <row r="895" spans="1:10" s="1" customFormat="1" ht="15.75" x14ac:dyDescent="0.2">
      <c r="A895" s="62"/>
      <c r="B895" s="62"/>
      <c r="C895" s="14"/>
      <c r="D895" s="3"/>
      <c r="E895" s="8"/>
      <c r="F895" s="9"/>
      <c r="G895" s="10"/>
      <c r="H895" s="19"/>
      <c r="I895" s="19"/>
      <c r="J895" s="20"/>
    </row>
    <row r="896" spans="1:10" s="1" customFormat="1" ht="15.75" x14ac:dyDescent="0.2">
      <c r="A896" s="62"/>
      <c r="B896" s="62"/>
      <c r="C896" s="14"/>
      <c r="D896" s="3"/>
      <c r="E896" s="8"/>
      <c r="F896" s="9"/>
      <c r="G896" s="10"/>
      <c r="H896" s="19"/>
      <c r="I896" s="19"/>
      <c r="J896" s="20"/>
    </row>
    <row r="897" spans="1:10" s="1" customFormat="1" ht="15.75" x14ac:dyDescent="0.2">
      <c r="A897" s="62"/>
      <c r="B897" s="62"/>
      <c r="C897" s="14"/>
      <c r="D897" s="3"/>
      <c r="E897" s="8"/>
      <c r="F897" s="9"/>
      <c r="G897" s="10"/>
      <c r="H897" s="19"/>
      <c r="I897" s="19"/>
      <c r="J897" s="20"/>
    </row>
    <row r="898" spans="1:10" s="1" customFormat="1" ht="15.75" x14ac:dyDescent="0.2">
      <c r="A898" s="62"/>
      <c r="B898" s="62"/>
      <c r="C898" s="14"/>
      <c r="D898" s="3"/>
      <c r="E898" s="8"/>
      <c r="F898" s="9"/>
      <c r="G898" s="10"/>
      <c r="H898" s="19"/>
      <c r="I898" s="19"/>
      <c r="J898" s="20"/>
    </row>
    <row r="899" spans="1:10" s="1" customFormat="1" ht="15.75" x14ac:dyDescent="0.2">
      <c r="A899" s="62"/>
      <c r="B899" s="62"/>
      <c r="C899" s="14"/>
      <c r="D899" s="3"/>
      <c r="E899" s="8"/>
      <c r="F899" s="9"/>
      <c r="G899" s="10"/>
      <c r="H899" s="19"/>
      <c r="I899" s="19"/>
      <c r="J899" s="20"/>
    </row>
    <row r="900" spans="1:10" s="1" customFormat="1" ht="15.75" x14ac:dyDescent="0.2">
      <c r="A900" s="62"/>
      <c r="B900" s="62"/>
      <c r="C900" s="14"/>
      <c r="D900" s="3"/>
      <c r="E900" s="8"/>
      <c r="F900" s="9"/>
      <c r="G900" s="10"/>
      <c r="H900" s="19"/>
      <c r="I900" s="19"/>
      <c r="J900" s="20"/>
    </row>
    <row r="901" spans="1:10" s="1" customFormat="1" ht="15.75" x14ac:dyDescent="0.2">
      <c r="A901" s="62"/>
      <c r="B901" s="62"/>
      <c r="C901" s="14"/>
      <c r="D901" s="3"/>
      <c r="E901" s="8"/>
      <c r="F901" s="9"/>
      <c r="G901" s="10"/>
      <c r="H901" s="19"/>
      <c r="I901" s="19"/>
      <c r="J901" s="20"/>
    </row>
    <row r="902" spans="1:10" s="1" customFormat="1" ht="15.75" x14ac:dyDescent="0.2">
      <c r="A902" s="62"/>
      <c r="B902" s="62"/>
      <c r="C902" s="14"/>
      <c r="D902" s="3"/>
      <c r="E902" s="8"/>
      <c r="F902" s="9"/>
      <c r="G902" s="10"/>
      <c r="H902" s="19"/>
      <c r="I902" s="19"/>
      <c r="J902" s="20"/>
    </row>
    <row r="903" spans="1:10" s="1" customFormat="1" ht="15.75" x14ac:dyDescent="0.2">
      <c r="A903" s="62"/>
      <c r="B903" s="62"/>
      <c r="C903" s="14"/>
      <c r="D903" s="3"/>
      <c r="E903" s="8"/>
      <c r="F903" s="9"/>
      <c r="G903" s="10"/>
      <c r="H903" s="19"/>
      <c r="I903" s="19"/>
      <c r="J903" s="20"/>
    </row>
    <row r="904" spans="1:10" s="1" customFormat="1" ht="15.75" x14ac:dyDescent="0.2">
      <c r="A904" s="62"/>
      <c r="B904" s="62"/>
      <c r="C904" s="14"/>
      <c r="D904" s="3"/>
      <c r="E904" s="8"/>
      <c r="F904" s="9"/>
      <c r="G904" s="10"/>
      <c r="H904" s="19"/>
      <c r="I904" s="19"/>
      <c r="J904" s="20"/>
    </row>
    <row r="905" spans="1:10" s="1" customFormat="1" ht="15.75" x14ac:dyDescent="0.2">
      <c r="A905" s="62"/>
      <c r="B905" s="62"/>
      <c r="C905" s="14"/>
      <c r="D905" s="3"/>
      <c r="E905" s="8"/>
      <c r="F905" s="9"/>
      <c r="G905" s="10"/>
      <c r="H905" s="19"/>
      <c r="I905" s="19"/>
      <c r="J905" s="20"/>
    </row>
    <row r="906" spans="1:10" s="1" customFormat="1" ht="15.75" x14ac:dyDescent="0.2">
      <c r="A906" s="62"/>
      <c r="B906" s="62"/>
      <c r="C906" s="14"/>
      <c r="D906" s="3"/>
      <c r="E906" s="8"/>
      <c r="F906" s="9"/>
      <c r="G906" s="10"/>
      <c r="H906" s="19"/>
      <c r="I906" s="19"/>
      <c r="J906" s="20"/>
    </row>
    <row r="907" spans="1:10" s="1" customFormat="1" ht="15.75" x14ac:dyDescent="0.2">
      <c r="A907" s="62"/>
      <c r="B907" s="62"/>
      <c r="C907" s="14"/>
      <c r="D907" s="3"/>
      <c r="E907" s="8"/>
      <c r="F907" s="9"/>
      <c r="G907" s="10"/>
      <c r="H907" s="19"/>
      <c r="I907" s="19"/>
      <c r="J907" s="20"/>
    </row>
    <row r="908" spans="1:10" s="1" customFormat="1" ht="15.75" x14ac:dyDescent="0.2">
      <c r="A908" s="62"/>
      <c r="B908" s="62"/>
      <c r="C908" s="14"/>
      <c r="D908" s="3"/>
      <c r="E908" s="8"/>
      <c r="F908" s="9"/>
      <c r="G908" s="10"/>
      <c r="H908" s="19"/>
      <c r="I908" s="19"/>
      <c r="J908" s="20"/>
    </row>
    <row r="909" spans="1:10" s="1" customFormat="1" ht="15.75" x14ac:dyDescent="0.2">
      <c r="A909" s="62"/>
      <c r="B909" s="62"/>
      <c r="C909" s="14"/>
      <c r="D909" s="3"/>
      <c r="E909" s="8"/>
      <c r="F909" s="9"/>
      <c r="G909" s="10"/>
      <c r="H909" s="19"/>
      <c r="I909" s="19"/>
      <c r="J909" s="20"/>
    </row>
    <row r="910" spans="1:10" s="1" customFormat="1" ht="15.75" x14ac:dyDescent="0.2">
      <c r="A910" s="62"/>
      <c r="B910" s="62"/>
      <c r="C910" s="14"/>
      <c r="D910" s="3"/>
      <c r="E910" s="8"/>
      <c r="F910" s="9"/>
      <c r="G910" s="10"/>
      <c r="H910" s="19"/>
      <c r="I910" s="19"/>
      <c r="J910" s="20"/>
    </row>
    <row r="911" spans="1:10" s="1" customFormat="1" ht="15.75" x14ac:dyDescent="0.2">
      <c r="A911" s="62"/>
      <c r="B911" s="62"/>
      <c r="C911" s="14"/>
      <c r="D911" s="3"/>
      <c r="E911" s="8"/>
      <c r="F911" s="9"/>
      <c r="G911" s="10"/>
      <c r="H911" s="19"/>
      <c r="I911" s="19"/>
      <c r="J911" s="20"/>
    </row>
    <row r="912" spans="1:10" s="1" customFormat="1" ht="15.75" x14ac:dyDescent="0.2">
      <c r="A912" s="62"/>
      <c r="B912" s="62"/>
      <c r="C912" s="14"/>
      <c r="D912" s="3"/>
      <c r="E912" s="8"/>
      <c r="F912" s="9"/>
      <c r="G912" s="10"/>
      <c r="H912" s="19"/>
      <c r="I912" s="19"/>
      <c r="J912" s="20"/>
    </row>
    <row r="913" spans="1:10" s="1" customFormat="1" ht="15.75" x14ac:dyDescent="0.2">
      <c r="A913" s="62"/>
      <c r="B913" s="62"/>
      <c r="C913" s="14"/>
      <c r="D913" s="3"/>
      <c r="E913" s="8"/>
      <c r="F913" s="9"/>
      <c r="G913" s="10"/>
      <c r="H913" s="19"/>
      <c r="I913" s="19"/>
      <c r="J913" s="20"/>
    </row>
    <row r="914" spans="1:10" s="1" customFormat="1" ht="15.75" x14ac:dyDescent="0.2">
      <c r="A914" s="62"/>
      <c r="B914" s="62"/>
      <c r="C914" s="14"/>
      <c r="D914" s="3"/>
      <c r="E914" s="8"/>
      <c r="F914" s="9"/>
      <c r="G914" s="10"/>
      <c r="H914" s="19"/>
      <c r="I914" s="19"/>
      <c r="J914" s="20"/>
    </row>
    <row r="915" spans="1:10" s="1" customFormat="1" ht="15.75" x14ac:dyDescent="0.2">
      <c r="A915" s="62"/>
      <c r="B915" s="62"/>
      <c r="C915" s="14"/>
      <c r="D915" s="3"/>
      <c r="E915" s="8"/>
      <c r="F915" s="9"/>
      <c r="G915" s="10"/>
      <c r="H915" s="19"/>
      <c r="I915" s="19"/>
      <c r="J915" s="20"/>
    </row>
    <row r="916" spans="1:10" s="1" customFormat="1" ht="15.75" x14ac:dyDescent="0.2">
      <c r="A916" s="62"/>
      <c r="B916" s="62"/>
      <c r="C916" s="14"/>
      <c r="D916" s="3"/>
      <c r="E916" s="8"/>
      <c r="F916" s="9"/>
      <c r="G916" s="10"/>
      <c r="H916" s="19"/>
      <c r="I916" s="19"/>
      <c r="J916" s="20"/>
    </row>
    <row r="917" spans="1:10" s="1" customFormat="1" ht="15.75" x14ac:dyDescent="0.2">
      <c r="A917" s="62"/>
      <c r="B917" s="62"/>
      <c r="C917" s="14"/>
      <c r="D917" s="3"/>
      <c r="E917" s="8"/>
      <c r="F917" s="9"/>
      <c r="G917" s="10"/>
      <c r="H917" s="19"/>
      <c r="I917" s="19"/>
      <c r="J917" s="20"/>
    </row>
    <row r="918" spans="1:10" s="1" customFormat="1" ht="15.75" x14ac:dyDescent="0.2">
      <c r="A918" s="62"/>
      <c r="B918" s="62"/>
      <c r="C918" s="14"/>
      <c r="D918" s="3"/>
      <c r="E918" s="8"/>
      <c r="F918" s="9"/>
      <c r="G918" s="10"/>
      <c r="H918" s="19"/>
      <c r="I918" s="19"/>
      <c r="J918" s="20"/>
    </row>
    <row r="919" spans="1:10" s="1" customFormat="1" ht="15.75" x14ac:dyDescent="0.2">
      <c r="A919" s="62"/>
      <c r="B919" s="62"/>
      <c r="C919" s="14"/>
      <c r="D919" s="3"/>
      <c r="E919" s="8"/>
      <c r="F919" s="9"/>
      <c r="G919" s="10"/>
      <c r="H919" s="19"/>
      <c r="I919" s="19"/>
      <c r="J919" s="20"/>
    </row>
    <row r="920" spans="1:10" s="1" customFormat="1" ht="15.75" x14ac:dyDescent="0.2">
      <c r="A920" s="62"/>
      <c r="B920" s="62"/>
      <c r="C920" s="14"/>
      <c r="D920" s="3"/>
      <c r="E920" s="8"/>
      <c r="F920" s="9"/>
      <c r="G920" s="10"/>
      <c r="H920" s="19"/>
      <c r="I920" s="19"/>
      <c r="J920" s="20"/>
    </row>
    <row r="921" spans="1:10" s="1" customFormat="1" ht="15.75" x14ac:dyDescent="0.2">
      <c r="A921" s="62"/>
      <c r="B921" s="62"/>
      <c r="C921" s="14"/>
      <c r="D921" s="3"/>
      <c r="E921" s="8"/>
      <c r="F921" s="9"/>
      <c r="G921" s="10"/>
      <c r="H921" s="19"/>
      <c r="I921" s="19"/>
      <c r="J921" s="20"/>
    </row>
    <row r="922" spans="1:10" s="1" customFormat="1" ht="15.75" x14ac:dyDescent="0.2">
      <c r="A922" s="62"/>
      <c r="B922" s="62"/>
      <c r="C922" s="14"/>
      <c r="D922" s="3"/>
      <c r="E922" s="8"/>
      <c r="F922" s="9"/>
      <c r="G922" s="10"/>
      <c r="H922" s="19"/>
      <c r="I922" s="19"/>
      <c r="J922" s="20"/>
    </row>
    <row r="923" spans="1:10" s="1" customFormat="1" ht="15.75" x14ac:dyDescent="0.2">
      <c r="A923" s="62"/>
      <c r="B923" s="62"/>
      <c r="C923" s="14"/>
      <c r="D923" s="3"/>
      <c r="E923" s="8"/>
      <c r="F923" s="9"/>
      <c r="G923" s="10"/>
      <c r="H923" s="19"/>
      <c r="I923" s="19"/>
      <c r="J923" s="20"/>
    </row>
    <row r="924" spans="1:10" s="1" customFormat="1" ht="15.75" x14ac:dyDescent="0.2">
      <c r="A924" s="62"/>
      <c r="B924" s="62"/>
      <c r="C924" s="14"/>
      <c r="D924" s="3"/>
      <c r="E924" s="8"/>
      <c r="F924" s="9"/>
      <c r="G924" s="10"/>
      <c r="H924" s="19"/>
      <c r="I924" s="19"/>
      <c r="J924" s="20"/>
    </row>
    <row r="925" spans="1:10" s="1" customFormat="1" ht="15.75" x14ac:dyDescent="0.2">
      <c r="A925" s="62"/>
      <c r="B925" s="62"/>
      <c r="C925" s="14"/>
      <c r="D925" s="3"/>
      <c r="E925" s="8"/>
      <c r="F925" s="9"/>
      <c r="G925" s="10"/>
      <c r="H925" s="19"/>
      <c r="I925" s="19"/>
      <c r="J925" s="20"/>
    </row>
    <row r="926" spans="1:10" s="1" customFormat="1" ht="15.75" x14ac:dyDescent="0.2">
      <c r="A926" s="62"/>
      <c r="B926" s="62"/>
      <c r="C926" s="14"/>
      <c r="D926" s="3"/>
      <c r="E926" s="8"/>
      <c r="F926" s="9"/>
      <c r="G926" s="10"/>
      <c r="H926" s="19"/>
      <c r="I926" s="19"/>
      <c r="J926" s="20"/>
    </row>
    <row r="927" spans="1:10" s="1" customFormat="1" ht="15.75" x14ac:dyDescent="0.2">
      <c r="A927" s="62"/>
      <c r="B927" s="62"/>
      <c r="C927" s="14"/>
      <c r="D927" s="3"/>
      <c r="E927" s="8"/>
      <c r="F927" s="9"/>
      <c r="G927" s="10"/>
      <c r="H927" s="19"/>
      <c r="I927" s="19"/>
      <c r="J927" s="20"/>
    </row>
    <row r="928" spans="1:10" s="1" customFormat="1" ht="15.75" x14ac:dyDescent="0.2">
      <c r="A928" s="62"/>
      <c r="B928" s="62"/>
      <c r="C928" s="14"/>
      <c r="D928" s="3"/>
      <c r="E928" s="8"/>
      <c r="F928" s="9"/>
      <c r="G928" s="10"/>
      <c r="H928" s="19"/>
      <c r="I928" s="19"/>
      <c r="J928" s="20"/>
    </row>
    <row r="929" spans="1:14" s="1" customFormat="1" ht="15.75" x14ac:dyDescent="0.2">
      <c r="A929" s="62"/>
      <c r="B929" s="62"/>
      <c r="C929" s="14"/>
      <c r="D929" s="3"/>
      <c r="E929" s="8"/>
      <c r="F929" s="9"/>
      <c r="G929" s="10"/>
      <c r="H929" s="19"/>
      <c r="I929" s="19"/>
      <c r="J929" s="20"/>
    </row>
    <row r="930" spans="1:14" s="1" customFormat="1" ht="15.75" x14ac:dyDescent="0.2">
      <c r="A930" s="62"/>
      <c r="B930" s="62"/>
      <c r="C930" s="14"/>
      <c r="D930" s="3"/>
      <c r="E930" s="8"/>
      <c r="F930" s="9"/>
      <c r="G930" s="10"/>
      <c r="H930" s="19"/>
      <c r="I930" s="19"/>
      <c r="J930" s="20"/>
    </row>
    <row r="931" spans="1:14" s="1" customFormat="1" ht="15.75" x14ac:dyDescent="0.2">
      <c r="A931" s="62"/>
      <c r="B931" s="62"/>
      <c r="C931" s="14"/>
      <c r="D931" s="3"/>
      <c r="E931" s="8"/>
      <c r="F931" s="9"/>
      <c r="G931" s="10"/>
      <c r="H931" s="19"/>
      <c r="I931" s="19"/>
      <c r="J931" s="20"/>
    </row>
    <row r="932" spans="1:14" s="1" customFormat="1" ht="15.75" x14ac:dyDescent="0.2">
      <c r="A932" s="62"/>
      <c r="B932" s="62"/>
      <c r="C932" s="14"/>
      <c r="D932" s="3"/>
      <c r="E932" s="8"/>
      <c r="F932" s="9"/>
      <c r="G932" s="10"/>
      <c r="H932" s="19"/>
      <c r="I932" s="19"/>
      <c r="J932" s="20"/>
    </row>
    <row r="933" spans="1:14" s="1" customFormat="1" ht="15.75" x14ac:dyDescent="0.2">
      <c r="A933" s="62"/>
      <c r="B933" s="62"/>
      <c r="C933" s="14"/>
      <c r="D933" s="3"/>
      <c r="E933" s="8"/>
      <c r="F933" s="9"/>
      <c r="G933" s="10"/>
      <c r="H933" s="19"/>
      <c r="I933" s="19"/>
      <c r="J933" s="20"/>
    </row>
    <row r="934" spans="1:14" s="1" customFormat="1" ht="15.75" x14ac:dyDescent="0.2">
      <c r="A934" s="62"/>
      <c r="B934" s="62"/>
      <c r="C934" s="14"/>
      <c r="D934" s="3"/>
      <c r="E934" s="8"/>
      <c r="F934" s="9"/>
      <c r="G934" s="10"/>
      <c r="H934" s="19"/>
      <c r="I934" s="19"/>
      <c r="J934" s="20"/>
    </row>
    <row r="935" spans="1:14" s="1" customFormat="1" ht="15.75" x14ac:dyDescent="0.2">
      <c r="A935" s="62"/>
      <c r="B935" s="62"/>
      <c r="C935" s="14"/>
      <c r="D935" s="3"/>
      <c r="E935" s="8"/>
      <c r="F935" s="9"/>
      <c r="G935" s="10"/>
      <c r="H935" s="19"/>
      <c r="I935" s="19"/>
      <c r="J935" s="20"/>
    </row>
    <row r="936" spans="1:14" s="1" customFormat="1" ht="15.75" x14ac:dyDescent="0.2">
      <c r="A936" s="62"/>
      <c r="B936" s="62"/>
      <c r="C936" s="14"/>
      <c r="D936" s="3"/>
      <c r="E936" s="8"/>
      <c r="F936" s="9"/>
      <c r="G936" s="10"/>
      <c r="H936" s="19"/>
      <c r="I936" s="19"/>
      <c r="J936" s="20"/>
    </row>
    <row r="937" spans="1:14" s="1" customFormat="1" ht="15.75" x14ac:dyDescent="0.2">
      <c r="A937" s="62"/>
      <c r="B937" s="62"/>
      <c r="C937" s="14"/>
      <c r="D937" s="3"/>
      <c r="E937" s="8"/>
      <c r="F937" s="9"/>
      <c r="G937" s="10"/>
      <c r="H937" s="19"/>
      <c r="I937" s="19"/>
      <c r="J937" s="20"/>
    </row>
    <row r="938" spans="1:14" s="1" customFormat="1" ht="15.75" x14ac:dyDescent="0.2">
      <c r="A938" s="62"/>
      <c r="B938" s="62"/>
      <c r="C938" s="14"/>
      <c r="D938" s="3"/>
      <c r="E938" s="8"/>
      <c r="F938" s="9"/>
      <c r="G938" s="10"/>
      <c r="H938" s="19"/>
      <c r="I938" s="19"/>
      <c r="J938" s="20"/>
    </row>
    <row r="939" spans="1:14" s="1" customFormat="1" ht="15.75" x14ac:dyDescent="0.2">
      <c r="A939" s="62"/>
      <c r="B939" s="62"/>
      <c r="C939" s="14"/>
      <c r="D939" s="3"/>
      <c r="E939" s="8"/>
      <c r="F939" s="9"/>
      <c r="G939" s="10"/>
      <c r="H939" s="19"/>
      <c r="I939" s="19"/>
      <c r="J939" s="20"/>
    </row>
    <row r="940" spans="1:14" s="1" customFormat="1" ht="15.75" x14ac:dyDescent="0.2">
      <c r="A940" s="62"/>
      <c r="B940" s="62"/>
      <c r="C940" s="14"/>
      <c r="D940" s="3"/>
      <c r="E940" s="8"/>
      <c r="F940" s="9"/>
      <c r="G940" s="10"/>
      <c r="H940" s="19"/>
      <c r="I940" s="19"/>
      <c r="J940" s="20"/>
    </row>
    <row r="941" spans="1:14" s="1" customFormat="1" ht="15.75" x14ac:dyDescent="0.2">
      <c r="A941" s="62"/>
      <c r="B941" s="62"/>
      <c r="C941" s="14"/>
      <c r="D941" s="3"/>
      <c r="E941" s="8"/>
      <c r="F941" s="9"/>
      <c r="G941" s="10"/>
      <c r="H941" s="19"/>
      <c r="I941" s="19"/>
      <c r="J941" s="20"/>
    </row>
    <row r="942" spans="1:14" s="1" customFormat="1" ht="15.75" x14ac:dyDescent="0.2">
      <c r="A942" s="62"/>
      <c r="B942" s="62"/>
      <c r="C942" s="14"/>
      <c r="D942" s="3"/>
      <c r="E942" s="8"/>
      <c r="F942" s="9"/>
      <c r="G942" s="10"/>
      <c r="H942" s="19"/>
      <c r="I942" s="19"/>
      <c r="J942" s="20"/>
    </row>
    <row r="943" spans="1:14" ht="15.75" x14ac:dyDescent="0.25">
      <c r="A943" s="62"/>
      <c r="B943" s="62"/>
      <c r="C943" s="14"/>
      <c r="D943" s="3"/>
      <c r="E943" s="8"/>
      <c r="F943" s="9"/>
      <c r="G943" s="10"/>
      <c r="H943" s="19"/>
      <c r="I943" s="19"/>
      <c r="J943" s="20"/>
      <c r="K943" s="1"/>
      <c r="L943" s="1"/>
      <c r="M943" s="1"/>
      <c r="N943" s="1"/>
    </row>
    <row r="944" spans="1:14" s="1" customFormat="1" ht="15.75" x14ac:dyDescent="0.2">
      <c r="A944" s="62"/>
      <c r="B944" s="62"/>
      <c r="C944" s="14"/>
      <c r="D944" s="3"/>
      <c r="E944" s="8"/>
      <c r="F944" s="9"/>
      <c r="G944" s="10"/>
      <c r="H944" s="19"/>
      <c r="I944" s="19"/>
      <c r="J944" s="20"/>
    </row>
    <row r="945" spans="1:10" s="1" customFormat="1" ht="15.75" x14ac:dyDescent="0.2">
      <c r="A945" s="62"/>
      <c r="B945" s="62"/>
      <c r="C945" s="14"/>
      <c r="D945" s="3"/>
      <c r="E945" s="8"/>
      <c r="F945" s="9"/>
      <c r="G945" s="10"/>
      <c r="H945" s="19"/>
      <c r="I945" s="19"/>
      <c r="J945" s="20"/>
    </row>
    <row r="946" spans="1:10" s="1" customFormat="1" ht="15.75" x14ac:dyDescent="0.2">
      <c r="A946" s="62"/>
      <c r="B946" s="62"/>
      <c r="C946" s="14"/>
      <c r="D946" s="3"/>
      <c r="E946" s="8"/>
      <c r="F946" s="9"/>
      <c r="G946" s="10"/>
      <c r="H946" s="19"/>
      <c r="I946" s="19"/>
      <c r="J946" s="20"/>
    </row>
    <row r="947" spans="1:10" s="1" customFormat="1" ht="15.75" x14ac:dyDescent="0.2">
      <c r="A947" s="62"/>
      <c r="B947" s="62"/>
      <c r="C947" s="14"/>
      <c r="D947" s="3"/>
      <c r="E947" s="8"/>
      <c r="F947" s="9"/>
      <c r="G947" s="10"/>
      <c r="H947" s="19"/>
      <c r="I947" s="19"/>
      <c r="J947" s="20"/>
    </row>
    <row r="948" spans="1:10" s="1" customFormat="1" ht="15.75" x14ac:dyDescent="0.2">
      <c r="A948" s="62"/>
      <c r="B948" s="62"/>
      <c r="C948" s="14"/>
      <c r="D948" s="3"/>
      <c r="E948" s="8"/>
      <c r="F948" s="9"/>
      <c r="G948" s="10"/>
      <c r="H948" s="19"/>
      <c r="I948" s="19"/>
      <c r="J948" s="20"/>
    </row>
    <row r="949" spans="1:10" s="1" customFormat="1" ht="15.75" x14ac:dyDescent="0.2">
      <c r="A949" s="62"/>
      <c r="B949" s="62"/>
      <c r="C949" s="14"/>
      <c r="D949" s="3"/>
      <c r="E949" s="8"/>
      <c r="F949" s="9"/>
      <c r="G949" s="10"/>
      <c r="H949" s="19"/>
      <c r="I949" s="19"/>
      <c r="J949" s="20"/>
    </row>
    <row r="950" spans="1:10" s="1" customFormat="1" ht="15.75" x14ac:dyDescent="0.2">
      <c r="A950" s="62"/>
      <c r="B950" s="62"/>
      <c r="C950" s="14"/>
      <c r="D950" s="3"/>
      <c r="E950" s="8"/>
      <c r="F950" s="9"/>
      <c r="G950" s="10"/>
      <c r="H950" s="19"/>
      <c r="I950" s="19"/>
      <c r="J950" s="20"/>
    </row>
    <row r="951" spans="1:10" s="1" customFormat="1" ht="15.75" x14ac:dyDescent="0.2">
      <c r="A951" s="62"/>
      <c r="B951" s="62"/>
      <c r="C951" s="14"/>
      <c r="D951" s="3"/>
      <c r="E951" s="8"/>
      <c r="F951" s="9"/>
      <c r="G951" s="10"/>
      <c r="H951" s="19"/>
      <c r="I951" s="19"/>
      <c r="J951" s="20"/>
    </row>
    <row r="952" spans="1:10" s="1" customFormat="1" ht="15.75" x14ac:dyDescent="0.2">
      <c r="A952" s="62"/>
      <c r="B952" s="62"/>
      <c r="C952" s="14"/>
      <c r="D952" s="3"/>
      <c r="E952" s="8"/>
      <c r="F952" s="9"/>
      <c r="G952" s="10"/>
      <c r="H952" s="19"/>
      <c r="I952" s="19"/>
      <c r="J952" s="20"/>
    </row>
    <row r="953" spans="1:10" s="1" customFormat="1" ht="15.75" x14ac:dyDescent="0.2">
      <c r="A953" s="62"/>
      <c r="B953" s="62"/>
      <c r="C953" s="14"/>
      <c r="D953" s="3"/>
      <c r="E953" s="8"/>
      <c r="F953" s="9"/>
      <c r="G953" s="10"/>
      <c r="H953" s="19"/>
      <c r="I953" s="19"/>
      <c r="J953" s="20"/>
    </row>
    <row r="954" spans="1:10" s="1" customFormat="1" ht="15.75" x14ac:dyDescent="0.2">
      <c r="A954" s="62"/>
      <c r="B954" s="62"/>
      <c r="C954" s="14"/>
      <c r="D954" s="3"/>
      <c r="E954" s="8"/>
      <c r="F954" s="9"/>
      <c r="G954" s="10"/>
      <c r="H954" s="19"/>
      <c r="I954" s="19"/>
      <c r="J954" s="20"/>
    </row>
    <row r="955" spans="1:10" s="1" customFormat="1" ht="15.75" x14ac:dyDescent="0.2">
      <c r="A955" s="62"/>
      <c r="B955" s="62"/>
      <c r="C955" s="14"/>
      <c r="D955" s="3"/>
      <c r="E955" s="8"/>
      <c r="F955" s="9"/>
      <c r="G955" s="10"/>
      <c r="H955" s="19"/>
      <c r="I955" s="19"/>
      <c r="J955" s="20"/>
    </row>
    <row r="956" spans="1:10" s="1" customFormat="1" ht="15.75" x14ac:dyDescent="0.2">
      <c r="A956" s="62"/>
      <c r="B956" s="62"/>
      <c r="C956" s="14"/>
      <c r="D956" s="3"/>
      <c r="E956" s="8"/>
      <c r="F956" s="9"/>
      <c r="G956" s="10"/>
      <c r="H956" s="19"/>
      <c r="I956" s="19"/>
      <c r="J956" s="20"/>
    </row>
    <row r="957" spans="1:10" s="1" customFormat="1" ht="15.75" x14ac:dyDescent="0.2">
      <c r="A957" s="62"/>
      <c r="B957" s="62"/>
      <c r="C957" s="14"/>
      <c r="D957" s="3"/>
      <c r="E957" s="8"/>
      <c r="F957" s="9"/>
      <c r="G957" s="10"/>
      <c r="H957" s="19"/>
      <c r="I957" s="19"/>
      <c r="J957" s="20"/>
    </row>
    <row r="958" spans="1:10" s="1" customFormat="1" ht="15.75" x14ac:dyDescent="0.2">
      <c r="A958" s="62"/>
      <c r="B958" s="62"/>
      <c r="C958" s="14"/>
      <c r="D958" s="3"/>
      <c r="E958" s="8"/>
      <c r="F958" s="9"/>
      <c r="G958" s="10"/>
      <c r="H958" s="19"/>
      <c r="I958" s="19"/>
      <c r="J958" s="20"/>
    </row>
    <row r="959" spans="1:10" s="1" customFormat="1" ht="15.75" x14ac:dyDescent="0.2">
      <c r="A959" s="62"/>
      <c r="B959" s="62"/>
      <c r="C959" s="14"/>
      <c r="D959" s="3"/>
      <c r="E959" s="8"/>
      <c r="F959" s="9"/>
      <c r="G959" s="10"/>
      <c r="H959" s="19"/>
      <c r="I959" s="19"/>
      <c r="J959" s="20"/>
    </row>
    <row r="960" spans="1:10" s="1" customFormat="1" ht="15.75" x14ac:dyDescent="0.2">
      <c r="A960" s="62"/>
      <c r="B960" s="62"/>
      <c r="C960" s="14"/>
      <c r="D960" s="3"/>
      <c r="E960" s="8"/>
      <c r="F960" s="9"/>
      <c r="G960" s="10"/>
      <c r="H960" s="19"/>
      <c r="I960" s="19"/>
      <c r="J960" s="20"/>
    </row>
    <row r="961" spans="1:10" s="1" customFormat="1" ht="15.75" x14ac:dyDescent="0.2">
      <c r="A961" s="62"/>
      <c r="B961" s="62"/>
      <c r="C961" s="14"/>
      <c r="D961" s="3"/>
      <c r="E961" s="8"/>
      <c r="F961" s="9"/>
      <c r="G961" s="10"/>
      <c r="H961" s="19"/>
      <c r="I961" s="19"/>
      <c r="J961" s="20"/>
    </row>
    <row r="962" spans="1:10" s="1" customFormat="1" ht="15.75" x14ac:dyDescent="0.2">
      <c r="A962" s="62"/>
      <c r="B962" s="62"/>
      <c r="C962" s="14"/>
      <c r="D962" s="3"/>
      <c r="E962" s="8"/>
      <c r="F962" s="9"/>
      <c r="G962" s="10"/>
      <c r="H962" s="19"/>
      <c r="I962" s="19"/>
      <c r="J962" s="20"/>
    </row>
    <row r="963" spans="1:10" s="1" customFormat="1" ht="15.75" x14ac:dyDescent="0.2">
      <c r="A963" s="62"/>
      <c r="B963" s="62"/>
      <c r="C963" s="14"/>
      <c r="D963" s="3"/>
      <c r="E963" s="8"/>
      <c r="F963" s="9"/>
      <c r="G963" s="10"/>
      <c r="H963" s="19"/>
      <c r="I963" s="19"/>
      <c r="J963" s="20"/>
    </row>
    <row r="964" spans="1:10" s="1" customFormat="1" ht="15.75" x14ac:dyDescent="0.2">
      <c r="A964" s="62"/>
      <c r="B964" s="62"/>
      <c r="C964" s="14"/>
      <c r="D964" s="3"/>
      <c r="E964" s="8"/>
      <c r="F964" s="9"/>
      <c r="G964" s="10"/>
      <c r="H964" s="19"/>
      <c r="I964" s="19"/>
      <c r="J964" s="20"/>
    </row>
    <row r="965" spans="1:10" s="1" customFormat="1" ht="15.75" x14ac:dyDescent="0.2">
      <c r="A965" s="62"/>
      <c r="B965" s="62"/>
      <c r="C965" s="14"/>
      <c r="D965" s="3"/>
      <c r="E965" s="8"/>
      <c r="F965" s="9"/>
      <c r="G965" s="10"/>
      <c r="H965" s="19"/>
      <c r="I965" s="19"/>
      <c r="J965" s="20"/>
    </row>
    <row r="966" spans="1:10" s="1" customFormat="1" ht="15.75" x14ac:dyDescent="0.2">
      <c r="A966" s="62"/>
      <c r="B966" s="62"/>
      <c r="C966" s="14"/>
      <c r="D966" s="3"/>
      <c r="E966" s="8"/>
      <c r="F966" s="9"/>
      <c r="G966" s="10"/>
      <c r="H966" s="19"/>
      <c r="I966" s="19"/>
      <c r="J966" s="20"/>
    </row>
    <row r="967" spans="1:10" s="1" customFormat="1" ht="15.75" x14ac:dyDescent="0.2">
      <c r="A967" s="62"/>
      <c r="B967" s="62"/>
      <c r="C967" s="14"/>
      <c r="D967" s="3"/>
      <c r="E967" s="8"/>
      <c r="F967" s="9"/>
      <c r="G967" s="10"/>
      <c r="H967" s="19"/>
      <c r="I967" s="19"/>
      <c r="J967" s="20"/>
    </row>
    <row r="968" spans="1:10" s="1" customFormat="1" ht="15.75" x14ac:dyDescent="0.2">
      <c r="A968" s="62"/>
      <c r="B968" s="62"/>
      <c r="C968" s="14"/>
      <c r="D968" s="3"/>
      <c r="E968" s="8"/>
      <c r="F968" s="9"/>
      <c r="G968" s="10"/>
      <c r="H968" s="19"/>
      <c r="I968" s="19"/>
      <c r="J968" s="20"/>
    </row>
    <row r="969" spans="1:10" s="1" customFormat="1" ht="15.75" x14ac:dyDescent="0.2">
      <c r="A969" s="62"/>
      <c r="B969" s="62"/>
      <c r="C969" s="14"/>
      <c r="D969" s="3"/>
      <c r="E969" s="8"/>
      <c r="F969" s="9"/>
      <c r="G969" s="10"/>
      <c r="H969" s="19"/>
      <c r="I969" s="19"/>
      <c r="J969" s="20"/>
    </row>
    <row r="970" spans="1:10" s="1" customFormat="1" ht="15.75" x14ac:dyDescent="0.2">
      <c r="A970" s="62"/>
      <c r="B970" s="62"/>
      <c r="C970" s="14"/>
      <c r="D970" s="3"/>
      <c r="E970" s="8"/>
      <c r="F970" s="9"/>
      <c r="G970" s="10"/>
      <c r="H970" s="19"/>
      <c r="I970" s="19"/>
      <c r="J970" s="20"/>
    </row>
    <row r="971" spans="1:10" s="1" customFormat="1" ht="15.75" x14ac:dyDescent="0.2">
      <c r="A971" s="62"/>
      <c r="B971" s="62"/>
      <c r="C971" s="14"/>
      <c r="D971" s="3"/>
      <c r="E971" s="8"/>
      <c r="F971" s="9"/>
      <c r="G971" s="10"/>
      <c r="H971" s="19"/>
      <c r="I971" s="19"/>
      <c r="J971" s="20"/>
    </row>
    <row r="972" spans="1:10" s="1" customFormat="1" ht="15.75" x14ac:dyDescent="0.2">
      <c r="A972" s="62"/>
      <c r="B972" s="62"/>
      <c r="C972" s="14"/>
      <c r="D972" s="3"/>
      <c r="E972" s="8"/>
      <c r="F972" s="9"/>
      <c r="G972" s="10"/>
      <c r="H972" s="19"/>
      <c r="I972" s="19"/>
      <c r="J972" s="20"/>
    </row>
    <row r="973" spans="1:10" s="1" customFormat="1" ht="15.75" x14ac:dyDescent="0.2">
      <c r="A973" s="62"/>
      <c r="B973" s="62"/>
      <c r="C973" s="14"/>
      <c r="D973" s="3"/>
      <c r="E973" s="8"/>
      <c r="F973" s="9"/>
      <c r="G973" s="10"/>
      <c r="H973" s="19"/>
      <c r="I973" s="19"/>
      <c r="J973" s="20"/>
    </row>
    <row r="974" spans="1:10" s="1" customFormat="1" ht="15.75" x14ac:dyDescent="0.2">
      <c r="A974" s="62"/>
      <c r="B974" s="62"/>
      <c r="C974" s="14"/>
      <c r="D974" s="3"/>
      <c r="E974" s="8"/>
      <c r="F974" s="9"/>
      <c r="G974" s="10"/>
      <c r="H974" s="19"/>
      <c r="I974" s="19"/>
      <c r="J974" s="20"/>
    </row>
    <row r="975" spans="1:10" s="1" customFormat="1" ht="15.75" x14ac:dyDescent="0.2">
      <c r="A975" s="62"/>
      <c r="B975" s="62"/>
      <c r="C975" s="14"/>
      <c r="D975" s="3"/>
      <c r="E975" s="8"/>
      <c r="F975" s="9"/>
      <c r="G975" s="10"/>
      <c r="H975" s="19"/>
      <c r="I975" s="19"/>
      <c r="J975" s="20"/>
    </row>
    <row r="976" spans="1:10" s="1" customFormat="1" ht="15.75" x14ac:dyDescent="0.2">
      <c r="A976" s="62"/>
      <c r="B976" s="62"/>
      <c r="C976" s="14"/>
      <c r="D976" s="3"/>
      <c r="E976" s="8"/>
      <c r="F976" s="9"/>
      <c r="G976" s="10"/>
      <c r="H976" s="19"/>
      <c r="I976" s="19"/>
      <c r="J976" s="20"/>
    </row>
    <row r="977" spans="1:14" s="1" customFormat="1" ht="15.75" x14ac:dyDescent="0.2">
      <c r="A977" s="62"/>
      <c r="B977" s="62"/>
      <c r="C977" s="14"/>
      <c r="D977" s="3"/>
      <c r="E977" s="8"/>
      <c r="F977" s="9"/>
      <c r="G977" s="10"/>
      <c r="H977" s="19"/>
      <c r="I977" s="19"/>
      <c r="J977" s="20"/>
    </row>
    <row r="978" spans="1:14" s="1" customFormat="1" ht="15.75" x14ac:dyDescent="0.2">
      <c r="A978" s="62"/>
      <c r="B978" s="62"/>
      <c r="C978" s="14"/>
      <c r="D978" s="3"/>
      <c r="E978" s="8"/>
      <c r="F978" s="9"/>
      <c r="G978" s="10"/>
      <c r="H978" s="19"/>
      <c r="I978" s="19"/>
      <c r="J978" s="20"/>
    </row>
    <row r="979" spans="1:14" s="1" customFormat="1" ht="15.75" x14ac:dyDescent="0.2">
      <c r="A979" s="62"/>
      <c r="B979" s="62"/>
      <c r="C979" s="14"/>
      <c r="D979" s="3"/>
      <c r="E979" s="8"/>
      <c r="F979" s="9"/>
      <c r="G979" s="10"/>
      <c r="H979" s="19"/>
      <c r="I979" s="19"/>
      <c r="J979" s="20"/>
    </row>
    <row r="980" spans="1:14" s="1" customFormat="1" ht="15.75" x14ac:dyDescent="0.2">
      <c r="A980" s="62"/>
      <c r="B980" s="62"/>
      <c r="C980" s="14"/>
      <c r="D980" s="3"/>
      <c r="E980" s="8"/>
      <c r="F980" s="9"/>
      <c r="G980" s="10"/>
      <c r="H980" s="19"/>
      <c r="I980" s="19"/>
      <c r="J980" s="20"/>
    </row>
    <row r="981" spans="1:14" s="1" customFormat="1" ht="15.75" x14ac:dyDescent="0.2">
      <c r="A981" s="62"/>
      <c r="B981" s="62"/>
      <c r="C981" s="14"/>
      <c r="D981" s="3"/>
      <c r="E981" s="8"/>
      <c r="F981" s="9"/>
      <c r="G981" s="10"/>
      <c r="H981" s="19"/>
      <c r="I981" s="19"/>
      <c r="J981" s="20"/>
    </row>
    <row r="982" spans="1:14" s="1" customFormat="1" ht="15.75" x14ac:dyDescent="0.2">
      <c r="A982" s="62"/>
      <c r="B982" s="62"/>
      <c r="C982" s="14"/>
      <c r="D982" s="3"/>
      <c r="E982" s="8"/>
      <c r="F982" s="9"/>
      <c r="G982" s="10"/>
      <c r="H982" s="19"/>
      <c r="I982" s="19"/>
      <c r="J982" s="20"/>
    </row>
    <row r="983" spans="1:14" s="1" customFormat="1" ht="15.75" x14ac:dyDescent="0.2">
      <c r="A983" s="62"/>
      <c r="B983" s="62"/>
      <c r="C983" s="14"/>
      <c r="D983" s="3"/>
      <c r="E983" s="8"/>
      <c r="F983" s="9"/>
      <c r="G983" s="10"/>
      <c r="H983" s="19"/>
      <c r="I983" s="19"/>
      <c r="J983" s="20"/>
    </row>
    <row r="984" spans="1:14" ht="15.75" x14ac:dyDescent="0.25">
      <c r="A984" s="62"/>
      <c r="B984" s="62"/>
      <c r="C984" s="14"/>
      <c r="D984" s="3"/>
      <c r="E984" s="8"/>
      <c r="F984" s="9"/>
      <c r="G984" s="10"/>
      <c r="H984" s="19"/>
      <c r="I984" s="19"/>
      <c r="J984" s="20"/>
      <c r="K984" s="1"/>
      <c r="L984" s="1"/>
      <c r="M984" s="1"/>
      <c r="N984" s="1"/>
    </row>
    <row r="985" spans="1:14" ht="15.75" x14ac:dyDescent="0.25">
      <c r="A985" s="62"/>
      <c r="B985" s="62"/>
      <c r="C985" s="14"/>
      <c r="K985" s="1"/>
      <c r="L985" s="1"/>
      <c r="M985" s="1"/>
      <c r="N985" s="1"/>
    </row>
  </sheetData>
  <mergeCells count="32">
    <mergeCell ref="C227:D227"/>
    <mergeCell ref="E227:F227"/>
    <mergeCell ref="G227:H227"/>
    <mergeCell ref="C252:D252"/>
    <mergeCell ref="E252:F252"/>
    <mergeCell ref="G252:H252"/>
    <mergeCell ref="C240:D240"/>
    <mergeCell ref="E240:F240"/>
    <mergeCell ref="G240:H240"/>
    <mergeCell ref="C153:D153"/>
    <mergeCell ref="C214:D214"/>
    <mergeCell ref="E214:F214"/>
    <mergeCell ref="G214:H214"/>
    <mergeCell ref="C34:D34"/>
    <mergeCell ref="E34:F34"/>
    <mergeCell ref="G34:H34"/>
    <mergeCell ref="C48:D48"/>
    <mergeCell ref="C139:D139"/>
    <mergeCell ref="E139:F139"/>
    <mergeCell ref="G139:H139"/>
    <mergeCell ref="C265:D265"/>
    <mergeCell ref="C656:D656"/>
    <mergeCell ref="C431:D431"/>
    <mergeCell ref="C382:D382"/>
    <mergeCell ref="E382:F382"/>
    <mergeCell ref="G382:H382"/>
    <mergeCell ref="C614:D614"/>
    <mergeCell ref="E614:F614"/>
    <mergeCell ref="G614:H614"/>
    <mergeCell ref="C759:D759"/>
    <mergeCell ref="E759:F759"/>
    <mergeCell ref="G759:H759"/>
  </mergeCells>
  <conditionalFormatting sqref="D49 F615:F650 D657:D755 F760:F984">
    <cfRule type="expression" dxfId="1089" priority="186">
      <formula>D49="Not a valid item #"</formula>
    </cfRule>
    <cfRule type="expression" dxfId="1088" priority="187">
      <formula>D49="Not in NPSLS"</formula>
    </cfRule>
    <cfRule type="expression" dxfId="1087" priority="188">
      <formula>D49="Obsolete"</formula>
    </cfRule>
    <cfRule type="expression" dxfId="1086" priority="189">
      <formula>D49=""</formula>
    </cfRule>
    <cfRule type="expression" dxfId="1085" priority="190">
      <formula>D49="List Price"</formula>
    </cfRule>
  </conditionalFormatting>
  <conditionalFormatting sqref="D51:D57">
    <cfRule type="expression" dxfId="1084" priority="181">
      <formula>D51="Not a valid item #"</formula>
    </cfRule>
    <cfRule type="expression" dxfId="1083" priority="182">
      <formula>D51="Not in NPSLS"</formula>
    </cfRule>
    <cfRule type="expression" dxfId="1082" priority="183">
      <formula>D51="Obsolete"</formula>
    </cfRule>
    <cfRule type="expression" dxfId="1081" priority="184">
      <formula>D51=""</formula>
    </cfRule>
    <cfRule type="expression" dxfId="1080" priority="185">
      <formula>D51="List Price"</formula>
    </cfRule>
  </conditionalFormatting>
  <conditionalFormatting sqref="D59:D65">
    <cfRule type="expression" dxfId="1079" priority="176">
      <formula>D59="Not a valid item #"</formula>
    </cfRule>
    <cfRule type="expression" dxfId="1078" priority="177">
      <formula>D59="Not in NPSLS"</formula>
    </cfRule>
    <cfRule type="expression" dxfId="1077" priority="178">
      <formula>D59="Obsolete"</formula>
    </cfRule>
    <cfRule type="expression" dxfId="1076" priority="179">
      <formula>D59=""</formula>
    </cfRule>
    <cfRule type="expression" dxfId="1075" priority="180">
      <formula>D59="List Price"</formula>
    </cfRule>
  </conditionalFormatting>
  <conditionalFormatting sqref="D67:D73">
    <cfRule type="expression" dxfId="1074" priority="171">
      <formula>D67="Not a valid item #"</formula>
    </cfRule>
    <cfRule type="expression" dxfId="1073" priority="172">
      <formula>D67="Not in NPSLS"</formula>
    </cfRule>
    <cfRule type="expression" dxfId="1072" priority="173">
      <formula>D67="Obsolete"</formula>
    </cfRule>
    <cfRule type="expression" dxfId="1071" priority="174">
      <formula>D67=""</formula>
    </cfRule>
    <cfRule type="expression" dxfId="1070" priority="175">
      <formula>D67="List Price"</formula>
    </cfRule>
  </conditionalFormatting>
  <conditionalFormatting sqref="D75:D81">
    <cfRule type="expression" dxfId="1069" priority="166">
      <formula>D75="Not a valid item #"</formula>
    </cfRule>
    <cfRule type="expression" dxfId="1068" priority="167">
      <formula>D75="Not in NPSLS"</formula>
    </cfRule>
    <cfRule type="expression" dxfId="1067" priority="168">
      <formula>D75="Obsolete"</formula>
    </cfRule>
    <cfRule type="expression" dxfId="1066" priority="169">
      <formula>D75=""</formula>
    </cfRule>
    <cfRule type="expression" dxfId="1065" priority="170">
      <formula>D75="List Price"</formula>
    </cfRule>
  </conditionalFormatting>
  <conditionalFormatting sqref="D83:D89">
    <cfRule type="expression" dxfId="1064" priority="161">
      <formula>D83="Not a valid item #"</formula>
    </cfRule>
    <cfRule type="expression" dxfId="1063" priority="162">
      <formula>D83="Not in NPSLS"</formula>
    </cfRule>
    <cfRule type="expression" dxfId="1062" priority="163">
      <formula>D83="Obsolete"</formula>
    </cfRule>
    <cfRule type="expression" dxfId="1061" priority="164">
      <formula>D83=""</formula>
    </cfRule>
    <cfRule type="expression" dxfId="1060" priority="165">
      <formula>D83="List Price"</formula>
    </cfRule>
  </conditionalFormatting>
  <conditionalFormatting sqref="D91:D97 D196:D202">
    <cfRule type="expression" dxfId="1059" priority="156">
      <formula>D91="Not a valid item #"</formula>
    </cfRule>
    <cfRule type="expression" dxfId="1058" priority="157">
      <formula>D91="Not in NPSLS"</formula>
    </cfRule>
    <cfRule type="expression" dxfId="1057" priority="158">
      <formula>D91="Obsolete"</formula>
    </cfRule>
    <cfRule type="expression" dxfId="1056" priority="159">
      <formula>D91=""</formula>
    </cfRule>
    <cfRule type="expression" dxfId="1055" priority="160">
      <formula>D91="List Price"</formula>
    </cfRule>
  </conditionalFormatting>
  <conditionalFormatting sqref="D99:D105">
    <cfRule type="expression" dxfId="1054" priority="61">
      <formula>D99="Not a valid item #"</formula>
    </cfRule>
    <cfRule type="expression" dxfId="1053" priority="62">
      <formula>D99="Not in NPSLS"</formula>
    </cfRule>
    <cfRule type="expression" dxfId="1052" priority="63">
      <formula>D99="Obsolete"</formula>
    </cfRule>
    <cfRule type="expression" dxfId="1051" priority="64">
      <formula>D99=""</formula>
    </cfRule>
    <cfRule type="expression" dxfId="1050" priority="65">
      <formula>D99="List Price"</formula>
    </cfRule>
  </conditionalFormatting>
  <conditionalFormatting sqref="D154">
    <cfRule type="expression" dxfId="1049" priority="146">
      <formula>D154="Not a valid item #"</formula>
    </cfRule>
    <cfRule type="expression" dxfId="1048" priority="147">
      <formula>D154="Not in NPSLS"</formula>
    </cfRule>
    <cfRule type="expression" dxfId="1047" priority="148">
      <formula>D154="Obsolete"</formula>
    </cfRule>
    <cfRule type="expression" dxfId="1046" priority="149">
      <formula>D154=""</formula>
    </cfRule>
    <cfRule type="expression" dxfId="1045" priority="150">
      <formula>D154="List Price"</formula>
    </cfRule>
  </conditionalFormatting>
  <conditionalFormatting sqref="D156:D162">
    <cfRule type="expression" dxfId="1044" priority="141">
      <formula>D156="Not a valid item #"</formula>
    </cfRule>
    <cfRule type="expression" dxfId="1043" priority="142">
      <formula>D156="Not in NPSLS"</formula>
    </cfRule>
    <cfRule type="expression" dxfId="1042" priority="143">
      <formula>D156="Obsolete"</formula>
    </cfRule>
    <cfRule type="expression" dxfId="1041" priority="144">
      <formula>D156=""</formula>
    </cfRule>
    <cfRule type="expression" dxfId="1040" priority="145">
      <formula>D156="List Price"</formula>
    </cfRule>
  </conditionalFormatting>
  <conditionalFormatting sqref="D164:D170">
    <cfRule type="expression" dxfId="1039" priority="136">
      <formula>D164="Not a valid item #"</formula>
    </cfRule>
    <cfRule type="expression" dxfId="1038" priority="137">
      <formula>D164="Not in NPSLS"</formula>
    </cfRule>
    <cfRule type="expression" dxfId="1037" priority="138">
      <formula>D164="Obsolete"</formula>
    </cfRule>
    <cfRule type="expression" dxfId="1036" priority="139">
      <formula>D164=""</formula>
    </cfRule>
    <cfRule type="expression" dxfId="1035" priority="140">
      <formula>D164="List Price"</formula>
    </cfRule>
  </conditionalFormatting>
  <conditionalFormatting sqref="D172:D178">
    <cfRule type="expression" dxfId="1034" priority="131">
      <formula>D172="Not a valid item #"</formula>
    </cfRule>
    <cfRule type="expression" dxfId="1033" priority="132">
      <formula>D172="Not in NPSLS"</formula>
    </cfRule>
    <cfRule type="expression" dxfId="1032" priority="133">
      <formula>D172="Obsolete"</formula>
    </cfRule>
    <cfRule type="expression" dxfId="1031" priority="134">
      <formula>D172=""</formula>
    </cfRule>
    <cfRule type="expression" dxfId="1030" priority="135">
      <formula>D172="List Price"</formula>
    </cfRule>
  </conditionalFormatting>
  <conditionalFormatting sqref="D180:D186">
    <cfRule type="expression" dxfId="1029" priority="126">
      <formula>D180="Not a valid item #"</formula>
    </cfRule>
    <cfRule type="expression" dxfId="1028" priority="127">
      <formula>D180="Not in NPSLS"</formula>
    </cfRule>
    <cfRule type="expression" dxfId="1027" priority="128">
      <formula>D180="Obsolete"</formula>
    </cfRule>
    <cfRule type="expression" dxfId="1026" priority="129">
      <formula>D180=""</formula>
    </cfRule>
    <cfRule type="expression" dxfId="1025" priority="130">
      <formula>D180="List Price"</formula>
    </cfRule>
  </conditionalFormatting>
  <conditionalFormatting sqref="D188:D194">
    <cfRule type="expression" dxfId="1024" priority="121">
      <formula>D188="Not a valid item #"</formula>
    </cfRule>
    <cfRule type="expression" dxfId="1023" priority="122">
      <formula>D188="Not in NPSLS"</formula>
    </cfRule>
    <cfRule type="expression" dxfId="1022" priority="123">
      <formula>D188="Obsolete"</formula>
    </cfRule>
    <cfRule type="expression" dxfId="1021" priority="124">
      <formula>D188=""</formula>
    </cfRule>
    <cfRule type="expression" dxfId="1020" priority="125">
      <formula>D188="List Price"</formula>
    </cfRule>
  </conditionalFormatting>
  <conditionalFormatting sqref="D204:D210">
    <cfRule type="expression" dxfId="1019" priority="66">
      <formula>D204="Not a valid item #"</formula>
    </cfRule>
    <cfRule type="expression" dxfId="1018" priority="67">
      <formula>D204="Not in NPSLS"</formula>
    </cfRule>
    <cfRule type="expression" dxfId="1017" priority="68">
      <formula>D204="Obsolete"</formula>
    </cfRule>
    <cfRule type="expression" dxfId="1016" priority="69">
      <formula>D204=""</formula>
    </cfRule>
    <cfRule type="expression" dxfId="1015" priority="70">
      <formula>D204="List Price"</formula>
    </cfRule>
  </conditionalFormatting>
  <conditionalFormatting sqref="D266">
    <cfRule type="expression" dxfId="1014" priority="106">
      <formula>D266="Not a valid item #"</formula>
    </cfRule>
    <cfRule type="expression" dxfId="1013" priority="107">
      <formula>D266="Not in NPSLS"</formula>
    </cfRule>
    <cfRule type="expression" dxfId="1012" priority="108">
      <formula>D266="Obsolete"</formula>
    </cfRule>
    <cfRule type="expression" dxfId="1011" priority="109">
      <formula>D266=""</formula>
    </cfRule>
    <cfRule type="expression" dxfId="1010" priority="110">
      <formula>D266="List Price"</formula>
    </cfRule>
  </conditionalFormatting>
  <conditionalFormatting sqref="D268:D274">
    <cfRule type="expression" dxfId="1009" priority="101">
      <formula>D268="Not a valid item #"</formula>
    </cfRule>
    <cfRule type="expression" dxfId="1008" priority="102">
      <formula>D268="Not in NPSLS"</formula>
    </cfRule>
    <cfRule type="expression" dxfId="1007" priority="103">
      <formula>D268="Obsolete"</formula>
    </cfRule>
    <cfRule type="expression" dxfId="1006" priority="104">
      <formula>D268=""</formula>
    </cfRule>
    <cfRule type="expression" dxfId="1005" priority="105">
      <formula>D268="List Price"</formula>
    </cfRule>
  </conditionalFormatting>
  <conditionalFormatting sqref="D276:D282">
    <cfRule type="expression" dxfId="1004" priority="96">
      <formula>D276="Not a valid item #"</formula>
    </cfRule>
    <cfRule type="expression" dxfId="1003" priority="97">
      <formula>D276="Not in NPSLS"</formula>
    </cfRule>
    <cfRule type="expression" dxfId="1002" priority="98">
      <formula>D276="Obsolete"</formula>
    </cfRule>
    <cfRule type="expression" dxfId="1001" priority="99">
      <formula>D276=""</formula>
    </cfRule>
    <cfRule type="expression" dxfId="1000" priority="100">
      <formula>D276="List Price"</formula>
    </cfRule>
  </conditionalFormatting>
  <conditionalFormatting sqref="D284:D290">
    <cfRule type="expression" dxfId="999" priority="91">
      <formula>D284="Not a valid item #"</formula>
    </cfRule>
    <cfRule type="expression" dxfId="998" priority="92">
      <formula>D284="Not in NPSLS"</formula>
    </cfRule>
    <cfRule type="expression" dxfId="997" priority="93">
      <formula>D284="Obsolete"</formula>
    </cfRule>
    <cfRule type="expression" dxfId="996" priority="94">
      <formula>D284=""</formula>
    </cfRule>
    <cfRule type="expression" dxfId="995" priority="95">
      <formula>D284="List Price"</formula>
    </cfRule>
  </conditionalFormatting>
  <conditionalFormatting sqref="D292:D298">
    <cfRule type="expression" dxfId="994" priority="86">
      <formula>D292="Not a valid item #"</formula>
    </cfRule>
    <cfRule type="expression" dxfId="993" priority="87">
      <formula>D292="Not in NPSLS"</formula>
    </cfRule>
    <cfRule type="expression" dxfId="992" priority="88">
      <formula>D292="Obsolete"</formula>
    </cfRule>
    <cfRule type="expression" dxfId="991" priority="89">
      <formula>D292=""</formula>
    </cfRule>
    <cfRule type="expression" dxfId="990" priority="90">
      <formula>D292="List Price"</formula>
    </cfRule>
  </conditionalFormatting>
  <conditionalFormatting sqref="D300:D306">
    <cfRule type="expression" dxfId="989" priority="81">
      <formula>D300="Not a valid item #"</formula>
    </cfRule>
    <cfRule type="expression" dxfId="988" priority="82">
      <formula>D300="Not in NPSLS"</formula>
    </cfRule>
    <cfRule type="expression" dxfId="987" priority="83">
      <formula>D300="Obsolete"</formula>
    </cfRule>
    <cfRule type="expression" dxfId="986" priority="84">
      <formula>D300=""</formula>
    </cfRule>
    <cfRule type="expression" dxfId="985" priority="85">
      <formula>D300="List Price"</formula>
    </cfRule>
  </conditionalFormatting>
  <conditionalFormatting sqref="D308:D314">
    <cfRule type="expression" dxfId="984" priority="116">
      <formula>D308="Not a valid item #"</formula>
    </cfRule>
    <cfRule type="expression" dxfId="983" priority="117">
      <formula>D308="Not in NPSLS"</formula>
    </cfRule>
    <cfRule type="expression" dxfId="982" priority="118">
      <formula>D308="Obsolete"</formula>
    </cfRule>
    <cfRule type="expression" dxfId="981" priority="119">
      <formula>D308=""</formula>
    </cfRule>
    <cfRule type="expression" dxfId="980" priority="120">
      <formula>D308="List Price"</formula>
    </cfRule>
  </conditionalFormatting>
  <conditionalFormatting sqref="D316:D323">
    <cfRule type="expression" dxfId="979" priority="71">
      <formula>D316="Not a valid item #"</formula>
    </cfRule>
    <cfRule type="expression" dxfId="978" priority="72">
      <formula>D316="Not in NPSLS"</formula>
    </cfRule>
    <cfRule type="expression" dxfId="977" priority="73">
      <formula>D316="Obsolete"</formula>
    </cfRule>
    <cfRule type="expression" dxfId="976" priority="74">
      <formula>D316=""</formula>
    </cfRule>
    <cfRule type="expression" dxfId="975" priority="75">
      <formula>D316="List Price"</formula>
    </cfRule>
  </conditionalFormatting>
  <conditionalFormatting sqref="D432:D565">
    <cfRule type="expression" dxfId="974" priority="56">
      <formula>D432="Not a valid item #"</formula>
    </cfRule>
    <cfRule type="expression" dxfId="973" priority="57">
      <formula>D432="Not in NPSLS"</formula>
    </cfRule>
    <cfRule type="expression" dxfId="972" priority="58">
      <formula>D432="Obsolete"</formula>
    </cfRule>
    <cfRule type="expression" dxfId="971" priority="59">
      <formula>D432=""</formula>
    </cfRule>
    <cfRule type="expression" dxfId="970" priority="60">
      <formula>D432="List Price"</formula>
    </cfRule>
  </conditionalFormatting>
  <conditionalFormatting sqref="F2:F5 F9:F33 F35 F37:F47">
    <cfRule type="expression" dxfId="969" priority="191">
      <formula>F2="Not a valid item #"</formula>
    </cfRule>
    <cfRule type="expression" dxfId="968" priority="192">
      <formula>F2="Not in NPSLS"</formula>
    </cfRule>
    <cfRule type="expression" dxfId="967" priority="193">
      <formula>F2="Obsolete"</formula>
    </cfRule>
    <cfRule type="expression" dxfId="966" priority="194">
      <formula>F2=""</formula>
    </cfRule>
    <cfRule type="expression" dxfId="965" priority="195">
      <formula>F2="List Price"</formula>
    </cfRule>
  </conditionalFormatting>
  <conditionalFormatting sqref="F107:F110 F114:F138 F140 F142:F152">
    <cfRule type="expression" dxfId="964" priority="151">
      <formula>F107="Not a valid item #"</formula>
    </cfRule>
    <cfRule type="expression" dxfId="963" priority="152">
      <formula>F107="Not in NPSLS"</formula>
    </cfRule>
    <cfRule type="expression" dxfId="962" priority="153">
      <formula>F107="Obsolete"</formula>
    </cfRule>
    <cfRule type="expression" dxfId="961" priority="154">
      <formula>F107=""</formula>
    </cfRule>
    <cfRule type="expression" dxfId="960" priority="155">
      <formula>F107="List Price"</formula>
    </cfRule>
  </conditionalFormatting>
  <conditionalFormatting sqref="F212:F213">
    <cfRule type="expression" dxfId="959" priority="111">
      <formula>F212="Not a valid item #"</formula>
    </cfRule>
    <cfRule type="expression" dxfId="958" priority="112">
      <formula>F212="Not in NPSLS"</formula>
    </cfRule>
    <cfRule type="expression" dxfId="957" priority="113">
      <formula>F212="Obsolete"</formula>
    </cfRule>
    <cfRule type="expression" dxfId="956" priority="114">
      <formula>F212=""</formula>
    </cfRule>
    <cfRule type="expression" dxfId="955" priority="115">
      <formula>F212="List Price"</formula>
    </cfRule>
  </conditionalFormatting>
  <conditionalFormatting sqref="F215">
    <cfRule type="expression" dxfId="954" priority="76">
      <formula>F215="Not a valid item #"</formula>
    </cfRule>
    <cfRule type="expression" dxfId="953" priority="77">
      <formula>F215="Not in NPSLS"</formula>
    </cfRule>
    <cfRule type="expression" dxfId="952" priority="78">
      <formula>F215="Obsolete"</formula>
    </cfRule>
    <cfRule type="expression" dxfId="951" priority="79">
      <formula>F215=""</formula>
    </cfRule>
    <cfRule type="expression" dxfId="950" priority="80">
      <formula>F215="List Price"</formula>
    </cfRule>
  </conditionalFormatting>
  <conditionalFormatting sqref="F217:F226">
    <cfRule type="expression" dxfId="949" priority="41">
      <formula>F217="Not a valid item #"</formula>
    </cfRule>
    <cfRule type="expression" dxfId="948" priority="42">
      <formula>F217="Not in NPSLS"</formula>
    </cfRule>
    <cfRule type="expression" dxfId="947" priority="43">
      <formula>F217="Obsolete"</formula>
    </cfRule>
    <cfRule type="expression" dxfId="946" priority="44">
      <formula>F217=""</formula>
    </cfRule>
    <cfRule type="expression" dxfId="945" priority="45">
      <formula>F217="List Price"</formula>
    </cfRule>
  </conditionalFormatting>
  <conditionalFormatting sqref="F228:F239">
    <cfRule type="expression" dxfId="944" priority="46">
      <formula>F228="Not a valid item #"</formula>
    </cfRule>
    <cfRule type="expression" dxfId="943" priority="47">
      <formula>F228="Not in NPSLS"</formula>
    </cfRule>
    <cfRule type="expression" dxfId="942" priority="48">
      <formula>F228="Obsolete"</formula>
    </cfRule>
    <cfRule type="expression" dxfId="941" priority="49">
      <formula>F228=""</formula>
    </cfRule>
    <cfRule type="expression" dxfId="940" priority="50">
      <formula>F228="List Price"</formula>
    </cfRule>
  </conditionalFormatting>
  <conditionalFormatting sqref="F241:F251">
    <cfRule type="expression" dxfId="939" priority="31">
      <formula>F241="Not a valid item #"</formula>
    </cfRule>
    <cfRule type="expression" dxfId="938" priority="32">
      <formula>F241="Not in NPSLS"</formula>
    </cfRule>
    <cfRule type="expression" dxfId="937" priority="33">
      <formula>F241="Obsolete"</formula>
    </cfRule>
    <cfRule type="expression" dxfId="936" priority="34">
      <formula>F241=""</formula>
    </cfRule>
    <cfRule type="expression" dxfId="935" priority="35">
      <formula>F241="List Price"</formula>
    </cfRule>
  </conditionalFormatting>
  <conditionalFormatting sqref="F253:F264">
    <cfRule type="expression" dxfId="934" priority="36">
      <formula>F253="Not a valid item #"</formula>
    </cfRule>
    <cfRule type="expression" dxfId="933" priority="37">
      <formula>F253="Not in NPSLS"</formula>
    </cfRule>
    <cfRule type="expression" dxfId="932" priority="38">
      <formula>F253="Obsolete"</formula>
    </cfRule>
    <cfRule type="expression" dxfId="931" priority="39">
      <formula>F253=""</formula>
    </cfRule>
    <cfRule type="expression" dxfId="930" priority="40">
      <formula>F253="List Price"</formula>
    </cfRule>
  </conditionalFormatting>
  <conditionalFormatting sqref="F324:F369 F568:F610">
    <cfRule type="expression" dxfId="929" priority="216">
      <formula>F324="Not a valid item #"</formula>
    </cfRule>
    <cfRule type="expression" dxfId="928" priority="217">
      <formula>F324="Not in NPSLS"</formula>
    </cfRule>
    <cfRule type="expression" dxfId="927" priority="218">
      <formula>F324="Obsolete"</formula>
    </cfRule>
    <cfRule type="expression" dxfId="926" priority="219">
      <formula>F324=""</formula>
    </cfRule>
    <cfRule type="expression" dxfId="925" priority="220">
      <formula>F324="List Price"</formula>
    </cfRule>
  </conditionalFormatting>
  <conditionalFormatting sqref="F380:F381">
    <cfRule type="expression" dxfId="924" priority="26">
      <formula>F380="Not a valid item #"</formula>
    </cfRule>
    <cfRule type="expression" dxfId="923" priority="27">
      <formula>F380="Not in NPSLS"</formula>
    </cfRule>
    <cfRule type="expression" dxfId="922" priority="28">
      <formula>F380="Obsolete"</formula>
    </cfRule>
    <cfRule type="expression" dxfId="921" priority="29">
      <formula>F380=""</formula>
    </cfRule>
    <cfRule type="expression" dxfId="920" priority="30">
      <formula>F380="List Price"</formula>
    </cfRule>
  </conditionalFormatting>
  <conditionalFormatting sqref="F383:F392">
    <cfRule type="expression" dxfId="919" priority="21">
      <formula>F383="Not a valid item #"</formula>
    </cfRule>
    <cfRule type="expression" dxfId="918" priority="22">
      <formula>F383="Not in NPSLS"</formula>
    </cfRule>
    <cfRule type="expression" dxfId="917" priority="23">
      <formula>F383="Obsolete"</formula>
    </cfRule>
    <cfRule type="expression" dxfId="916" priority="24">
      <formula>F383=""</formula>
    </cfRule>
    <cfRule type="expression" dxfId="915" priority="25">
      <formula>F383="List Price"</formula>
    </cfRule>
  </conditionalFormatting>
  <conditionalFormatting sqref="F394:F427">
    <cfRule type="expression" dxfId="914" priority="211">
      <formula>F394="Not a valid item #"</formula>
    </cfRule>
    <cfRule type="expression" dxfId="913" priority="212">
      <formula>F394="Not in NPSLS"</formula>
    </cfRule>
    <cfRule type="expression" dxfId="912" priority="213">
      <formula>F394="Obsolete"</formula>
    </cfRule>
    <cfRule type="expression" dxfId="911" priority="214">
      <formula>F394=""</formula>
    </cfRule>
    <cfRule type="expression" dxfId="910" priority="215">
      <formula>F394="List Price"</formula>
    </cfRule>
  </conditionalFormatting>
  <conditionalFormatting sqref="F429:F430">
    <cfRule type="expression" dxfId="909" priority="51">
      <formula>F429="Not a valid item #"</formula>
    </cfRule>
    <cfRule type="expression" dxfId="908" priority="52">
      <formula>F429="Not in NPSLS"</formula>
    </cfRule>
    <cfRule type="expression" dxfId="907" priority="53">
      <formula>F429="Obsolete"</formula>
    </cfRule>
    <cfRule type="expression" dxfId="906" priority="54">
      <formula>F429=""</formula>
    </cfRule>
    <cfRule type="expression" dxfId="905" priority="55">
      <formula>F429="List Price"</formula>
    </cfRule>
  </conditionalFormatting>
  <conditionalFormatting sqref="F612:F613">
    <cfRule type="expression" dxfId="904" priority="16">
      <formula>F612="Not a valid item #"</formula>
    </cfRule>
    <cfRule type="expression" dxfId="903" priority="17">
      <formula>F612="Not in NPSLS"</formula>
    </cfRule>
    <cfRule type="expression" dxfId="902" priority="18">
      <formula>F612="Obsolete"</formula>
    </cfRule>
    <cfRule type="expression" dxfId="901" priority="19">
      <formula>F612=""</formula>
    </cfRule>
    <cfRule type="expression" dxfId="900" priority="20">
      <formula>F612="List Price"</formula>
    </cfRule>
  </conditionalFormatting>
  <conditionalFormatting sqref="F654:F655">
    <cfRule type="expression" dxfId="899" priority="196">
      <formula>F654="Not a valid item #"</formula>
    </cfRule>
    <cfRule type="expression" dxfId="898" priority="197">
      <formula>F654="Not in NPSLS"</formula>
    </cfRule>
    <cfRule type="expression" dxfId="897" priority="198">
      <formula>F654="Obsolete"</formula>
    </cfRule>
    <cfRule type="expression" dxfId="896" priority="199">
      <formula>F654=""</formula>
    </cfRule>
    <cfRule type="expression" dxfId="895" priority="200">
      <formula>F654="List Price"</formula>
    </cfRule>
  </conditionalFormatting>
  <conditionalFormatting sqref="F756:F758">
    <cfRule type="expression" dxfId="894" priority="1">
      <formula>F756="Not a valid item #"</formula>
    </cfRule>
    <cfRule type="expression" dxfId="893" priority="2">
      <formula>F756="Not in NPSLS"</formula>
    </cfRule>
    <cfRule type="expression" dxfId="892" priority="3">
      <formula>F756="Obsolete"</formula>
    </cfRule>
    <cfRule type="expression" dxfId="891" priority="4">
      <formula>F756=""</formula>
    </cfRule>
    <cfRule type="expression" dxfId="890" priority="5">
      <formula>F756="List Price"</formula>
    </cfRule>
  </conditionalFormatting>
  <hyperlinks>
    <hyperlink ref="A1" location="'Table of Contents'!A1" display="Return Home" xr:uid="{162E251F-87C1-4219-8DE2-F32522EF192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CC66-C6B1-4557-B5D1-0C7862D659E3}">
  <sheetPr codeName="Sheet8"/>
  <dimension ref="A1:P614"/>
  <sheetViews>
    <sheetView showGridLines="0" zoomScale="80" zoomScaleNormal="80" workbookViewId="0"/>
  </sheetViews>
  <sheetFormatPr defaultColWidth="8.7109375" defaultRowHeight="14.25" x14ac:dyDescent="0.2"/>
  <cols>
    <col min="1" max="1" width="31.28515625" style="238" customWidth="1"/>
    <col min="2" max="2" width="22.5703125" style="238" customWidth="1"/>
    <col min="3" max="3" width="10.85546875" style="243" customWidth="1"/>
    <col min="4" max="4" width="8.85546875" style="238" bestFit="1" customWidth="1"/>
    <col min="5" max="5" width="13.85546875" style="243" customWidth="1"/>
    <col min="6" max="6" width="12.7109375" style="238" customWidth="1"/>
    <col min="7" max="8" width="8.85546875" style="238" bestFit="1" customWidth="1"/>
    <col min="9" max="9" width="11.28515625" style="238" customWidth="1"/>
    <col min="10" max="10" width="13.7109375" style="238" customWidth="1"/>
    <col min="11" max="11" width="14.140625" style="238" customWidth="1"/>
    <col min="12" max="12" width="10.85546875" style="246" bestFit="1" customWidth="1"/>
    <col min="13" max="13" width="9.85546875" style="238" bestFit="1" customWidth="1"/>
    <col min="14" max="16384" width="8.7109375" style="238"/>
  </cols>
  <sheetData>
    <row r="1" spans="1:12" ht="15" x14ac:dyDescent="0.25">
      <c r="A1" s="255" t="s">
        <v>5540</v>
      </c>
      <c r="L1" s="238"/>
    </row>
    <row r="2" spans="1:12" ht="18" x14ac:dyDescent="0.2">
      <c r="A2" s="273" t="s">
        <v>1269</v>
      </c>
      <c r="B2" s="273" t="s">
        <v>468</v>
      </c>
      <c r="D2" s="3"/>
      <c r="E2" s="8"/>
      <c r="F2" s="9"/>
      <c r="G2" s="10"/>
      <c r="H2" s="19"/>
      <c r="I2" s="19"/>
      <c r="J2" s="20"/>
      <c r="L2" s="238"/>
    </row>
    <row r="3" spans="1:12" ht="15.75" x14ac:dyDescent="0.2">
      <c r="A3" s="48" t="s">
        <v>1270</v>
      </c>
      <c r="B3" s="11"/>
      <c r="C3" s="4"/>
      <c r="D3" s="4"/>
      <c r="E3" s="5"/>
      <c r="F3" s="9"/>
      <c r="G3" s="4"/>
      <c r="H3" s="19"/>
      <c r="I3" s="19"/>
      <c r="J3" s="20"/>
      <c r="L3" s="238"/>
    </row>
    <row r="4" spans="1:12" ht="24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29" t="s">
        <v>1271</v>
      </c>
      <c r="J4" s="24" t="s">
        <v>41</v>
      </c>
      <c r="L4" s="238"/>
    </row>
    <row r="5" spans="1:12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38"/>
    </row>
    <row r="6" spans="1:12" x14ac:dyDescent="0.2">
      <c r="A6" s="26">
        <v>125</v>
      </c>
      <c r="B6" s="238" t="s">
        <v>49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40">
        <v>2.2999999999999998</v>
      </c>
      <c r="I6" s="38" t="s">
        <v>1272</v>
      </c>
      <c r="J6" s="34">
        <f>IFERROR(_xlfn.XLOOKUP(I6,Index!$A:$A,Index!$B:$B),"")</f>
        <v>313</v>
      </c>
      <c r="L6" s="238"/>
    </row>
    <row r="7" spans="1:12" x14ac:dyDescent="0.2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40">
        <v>2.2999999999999998</v>
      </c>
      <c r="I7" s="38" t="s">
        <v>1273</v>
      </c>
      <c r="J7" s="34">
        <f>IFERROR(_xlfn.XLOOKUP(I7,Index!$A:$A,Index!$B:$B),"")</f>
        <v>329</v>
      </c>
      <c r="L7" s="238"/>
    </row>
    <row r="8" spans="1:12" x14ac:dyDescent="0.2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40">
        <v>2.2999999999999998</v>
      </c>
      <c r="I8" s="38" t="s">
        <v>1274</v>
      </c>
      <c r="J8" s="34">
        <f>IFERROR(_xlfn.XLOOKUP(I8,Index!$A:$A,Index!$B:$B),"")</f>
        <v>358</v>
      </c>
      <c r="L8" s="238"/>
    </row>
    <row r="9" spans="1:12" x14ac:dyDescent="0.2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4</v>
      </c>
      <c r="H9" s="40">
        <v>1.8</v>
      </c>
      <c r="I9" s="38" t="s">
        <v>1275</v>
      </c>
      <c r="J9" s="34">
        <f>IFERROR(_xlfn.XLOOKUP(I9,Index!$A:$A,Index!$B:$B),"")</f>
        <v>398</v>
      </c>
      <c r="L9" s="238"/>
    </row>
    <row r="10" spans="1:12" x14ac:dyDescent="0.2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4</v>
      </c>
      <c r="H10" s="40">
        <v>1.8</v>
      </c>
      <c r="I10" s="38" t="s">
        <v>1276</v>
      </c>
      <c r="J10" s="34">
        <f>IFERROR(_xlfn.XLOOKUP(I10,Index!$A:$A,Index!$B:$B),"")</f>
        <v>453.5</v>
      </c>
      <c r="L10" s="238"/>
    </row>
    <row r="11" spans="1:12" x14ac:dyDescent="0.2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4</v>
      </c>
      <c r="H11" s="40">
        <v>1.8</v>
      </c>
      <c r="I11" s="38" t="s">
        <v>1277</v>
      </c>
      <c r="J11" s="34">
        <f>IFERROR(_xlfn.XLOOKUP(I11,Index!$A:$A,Index!$B:$B),"")</f>
        <v>417</v>
      </c>
      <c r="L11" s="238"/>
    </row>
    <row r="12" spans="1:12" x14ac:dyDescent="0.2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6</v>
      </c>
      <c r="H12" s="40">
        <v>2.7</v>
      </c>
      <c r="I12" s="38" t="s">
        <v>1278</v>
      </c>
      <c r="J12" s="34">
        <f>IFERROR(_xlfn.XLOOKUP(I12,Index!$A:$A,Index!$B:$B),"")</f>
        <v>406</v>
      </c>
      <c r="L12" s="238"/>
    </row>
    <row r="13" spans="1:12" x14ac:dyDescent="0.2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6</v>
      </c>
      <c r="H13" s="40">
        <v>2.7</v>
      </c>
      <c r="I13" s="38" t="s">
        <v>5638</v>
      </c>
      <c r="J13" s="34">
        <f>IFERROR(_xlfn.XLOOKUP(I13,Index!$A:$A,Index!$B:$B),"")</f>
        <v>301</v>
      </c>
      <c r="L13" s="238"/>
    </row>
    <row r="14" spans="1:12" x14ac:dyDescent="0.2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6</v>
      </c>
      <c r="H14" s="40">
        <v>2.7</v>
      </c>
      <c r="I14" s="38" t="s">
        <v>1279</v>
      </c>
      <c r="J14" s="34">
        <f>IFERROR(_xlfn.XLOOKUP(I14,Index!$A:$A,Index!$B:$B),"")</f>
        <v>426</v>
      </c>
      <c r="L14" s="238"/>
    </row>
    <row r="15" spans="1:12" x14ac:dyDescent="0.2">
      <c r="A15" s="26"/>
      <c r="B15" s="26"/>
      <c r="C15" s="30"/>
      <c r="D15" s="35" t="s">
        <v>176</v>
      </c>
      <c r="E15" s="82" t="s">
        <v>223</v>
      </c>
      <c r="F15" s="37">
        <v>32</v>
      </c>
      <c r="G15" s="35">
        <v>10</v>
      </c>
      <c r="H15" s="40">
        <v>4.5</v>
      </c>
      <c r="I15" s="38" t="s">
        <v>1280</v>
      </c>
      <c r="J15" s="34">
        <f>IFERROR(_xlfn.XLOOKUP(I15,Index!$A:$A,Index!$B:$B),"")</f>
        <v>530</v>
      </c>
      <c r="L15" s="238"/>
    </row>
    <row r="16" spans="1:12" x14ac:dyDescent="0.2">
      <c r="A16" s="26"/>
      <c r="B16" s="26"/>
      <c r="C16" s="30"/>
      <c r="D16" s="35" t="s">
        <v>53</v>
      </c>
      <c r="E16" s="82" t="s">
        <v>223</v>
      </c>
      <c r="F16" s="37">
        <v>32</v>
      </c>
      <c r="G16" s="35">
        <v>10</v>
      </c>
      <c r="H16" s="40">
        <v>4.5</v>
      </c>
      <c r="I16" s="38" t="s">
        <v>1281</v>
      </c>
      <c r="J16" s="34">
        <f>IFERROR(_xlfn.XLOOKUP(I16,Index!$A:$A,Index!$B:$B),"")</f>
        <v>555.5</v>
      </c>
      <c r="L16" s="238"/>
    </row>
    <row r="17" spans="1:12" x14ac:dyDescent="0.2">
      <c r="A17" s="26"/>
      <c r="B17" s="26"/>
      <c r="C17" s="30"/>
      <c r="D17" s="35" t="s">
        <v>55</v>
      </c>
      <c r="E17" s="82" t="s">
        <v>223</v>
      </c>
      <c r="F17" s="37">
        <v>32</v>
      </c>
      <c r="G17" s="35">
        <v>10</v>
      </c>
      <c r="H17" s="40">
        <v>4.5</v>
      </c>
      <c r="I17" s="38" t="s">
        <v>1282</v>
      </c>
      <c r="J17" s="34">
        <f>IFERROR(_xlfn.XLOOKUP(I17,Index!$A:$A,Index!$B:$B),"")</f>
        <v>604.5</v>
      </c>
      <c r="L17" s="238"/>
    </row>
    <row r="18" spans="1:12" x14ac:dyDescent="0.2">
      <c r="A18" s="26"/>
      <c r="B18" s="26"/>
      <c r="C18" s="30"/>
      <c r="D18" s="35" t="s">
        <v>176</v>
      </c>
      <c r="E18" s="82" t="s">
        <v>225</v>
      </c>
      <c r="F18" s="37">
        <v>40</v>
      </c>
      <c r="G18" s="35">
        <v>10</v>
      </c>
      <c r="H18" s="40">
        <v>4.5</v>
      </c>
      <c r="I18" s="38" t="s">
        <v>1283</v>
      </c>
      <c r="J18" s="34">
        <f>IFERROR(_xlfn.XLOOKUP(I18,Index!$A:$A,Index!$B:$B),"")</f>
        <v>583</v>
      </c>
      <c r="L18" s="238"/>
    </row>
    <row r="19" spans="1:12" x14ac:dyDescent="0.2">
      <c r="A19" s="26"/>
      <c r="B19" s="26"/>
      <c r="C19" s="30"/>
      <c r="D19" s="35" t="s">
        <v>53</v>
      </c>
      <c r="E19" s="82" t="s">
        <v>225</v>
      </c>
      <c r="F19" s="37">
        <v>40</v>
      </c>
      <c r="G19" s="35">
        <v>10</v>
      </c>
      <c r="H19" s="40">
        <v>4.5</v>
      </c>
      <c r="I19" s="38" t="s">
        <v>1284</v>
      </c>
      <c r="J19" s="34">
        <f>IFERROR(_xlfn.XLOOKUP(I19,Index!$A:$A,Index!$B:$B),"")</f>
        <v>613</v>
      </c>
      <c r="L19" s="238"/>
    </row>
    <row r="20" spans="1:12" x14ac:dyDescent="0.2">
      <c r="A20" s="26"/>
      <c r="B20" s="26"/>
      <c r="C20" s="30"/>
      <c r="D20" s="35" t="s">
        <v>55</v>
      </c>
      <c r="E20" s="82" t="s">
        <v>225</v>
      </c>
      <c r="F20" s="37">
        <v>40</v>
      </c>
      <c r="G20" s="35">
        <v>10</v>
      </c>
      <c r="H20" s="40">
        <v>4.5</v>
      </c>
      <c r="I20" s="38" t="s">
        <v>1285</v>
      </c>
      <c r="J20" s="34">
        <f>IFERROR(_xlfn.XLOOKUP(I20,Index!$A:$A,Index!$B:$B),"")</f>
        <v>665.5</v>
      </c>
      <c r="L20" s="238"/>
    </row>
    <row r="21" spans="1:12" x14ac:dyDescent="0.2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19</v>
      </c>
      <c r="H21" s="40">
        <v>8.6</v>
      </c>
      <c r="I21" s="38" t="s">
        <v>1286</v>
      </c>
      <c r="J21" s="34">
        <f>IFERROR(_xlfn.XLOOKUP(I21,Index!$A:$A,Index!$B:$B),"")</f>
        <v>697</v>
      </c>
      <c r="L21" s="238"/>
    </row>
    <row r="22" spans="1:12" x14ac:dyDescent="0.2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19</v>
      </c>
      <c r="H22" s="40">
        <v>8.6</v>
      </c>
      <c r="I22" s="38" t="s">
        <v>1287</v>
      </c>
      <c r="J22" s="34">
        <f>IFERROR(_xlfn.XLOOKUP(I22,Index!$A:$A,Index!$B:$B),"")</f>
        <v>732.5</v>
      </c>
      <c r="L22" s="238"/>
    </row>
    <row r="23" spans="1:12" x14ac:dyDescent="0.2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19</v>
      </c>
      <c r="H23" s="40">
        <v>8.6</v>
      </c>
      <c r="I23" s="38" t="s">
        <v>1288</v>
      </c>
      <c r="J23" s="34">
        <f>IFERROR(_xlfn.XLOOKUP(I23,Index!$A:$A,Index!$B:$B),"")</f>
        <v>732.5</v>
      </c>
      <c r="L23" s="238"/>
    </row>
    <row r="24" spans="1:12" x14ac:dyDescent="0.2">
      <c r="A24" s="26"/>
      <c r="B24" s="26"/>
      <c r="C24" s="30"/>
      <c r="D24" s="35" t="s">
        <v>176</v>
      </c>
      <c r="E24" s="82" t="s">
        <v>231</v>
      </c>
      <c r="F24" s="37">
        <v>65</v>
      </c>
      <c r="G24" s="35">
        <v>28</v>
      </c>
      <c r="H24" s="40">
        <v>12.7</v>
      </c>
      <c r="I24" s="38" t="s">
        <v>1289</v>
      </c>
      <c r="J24" s="34">
        <f>IFERROR(_xlfn.XLOOKUP(I24,Index!$A:$A,Index!$B:$B),"")</f>
        <v>930</v>
      </c>
      <c r="L24" s="238"/>
    </row>
    <row r="25" spans="1:12" x14ac:dyDescent="0.2">
      <c r="A25" s="26"/>
      <c r="B25" s="26"/>
      <c r="C25" s="30"/>
      <c r="D25" s="35" t="s">
        <v>53</v>
      </c>
      <c r="E25" s="82" t="s">
        <v>231</v>
      </c>
      <c r="F25" s="37">
        <v>65</v>
      </c>
      <c r="G25" s="35">
        <v>28</v>
      </c>
      <c r="H25" s="40">
        <v>12.7</v>
      </c>
      <c r="I25" s="38" t="s">
        <v>1290</v>
      </c>
      <c r="J25" s="34">
        <f>IFERROR(_xlfn.XLOOKUP(I25,Index!$A:$A,Index!$B:$B),"")</f>
        <v>1062</v>
      </c>
      <c r="L25" s="238"/>
    </row>
    <row r="26" spans="1:12" x14ac:dyDescent="0.2">
      <c r="A26" s="26"/>
      <c r="B26" s="26"/>
      <c r="C26" s="30"/>
      <c r="D26" s="35" t="s">
        <v>55</v>
      </c>
      <c r="E26" s="82" t="s">
        <v>231</v>
      </c>
      <c r="F26" s="37">
        <v>65</v>
      </c>
      <c r="G26" s="35">
        <v>28</v>
      </c>
      <c r="H26" s="40">
        <v>12.7</v>
      </c>
      <c r="I26" s="38" t="s">
        <v>1291</v>
      </c>
      <c r="J26" s="34">
        <f>IFERROR(_xlfn.XLOOKUP(I26,Index!$A:$A,Index!$B:$B),"")</f>
        <v>1062</v>
      </c>
      <c r="L26" s="238"/>
    </row>
    <row r="27" spans="1:12" x14ac:dyDescent="0.2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47</v>
      </c>
      <c r="H27" s="40">
        <v>21.3</v>
      </c>
      <c r="I27" s="38" t="s">
        <v>1292</v>
      </c>
      <c r="J27" s="34">
        <f>IFERROR(_xlfn.XLOOKUP(I27,Index!$A:$A,Index!$B:$B),"")</f>
        <v>1131</v>
      </c>
      <c r="L27" s="238"/>
    </row>
    <row r="28" spans="1:12" x14ac:dyDescent="0.2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47</v>
      </c>
      <c r="H28" s="40">
        <v>21.3</v>
      </c>
      <c r="I28" s="38" t="s">
        <v>1293</v>
      </c>
      <c r="J28" s="34">
        <f>IFERROR(_xlfn.XLOOKUP(I28,Index!$A:$A,Index!$B:$B),"")</f>
        <v>1188</v>
      </c>
      <c r="L28" s="238"/>
    </row>
    <row r="29" spans="1:12" x14ac:dyDescent="0.2">
      <c r="A29" s="27"/>
      <c r="B29" s="27"/>
      <c r="C29" s="31"/>
      <c r="D29" s="85" t="s">
        <v>55</v>
      </c>
      <c r="E29" s="82" t="s">
        <v>1166</v>
      </c>
      <c r="F29" s="37">
        <v>80</v>
      </c>
      <c r="G29" s="35">
        <v>47</v>
      </c>
      <c r="H29" s="40">
        <v>21.3</v>
      </c>
      <c r="I29" s="38" t="s">
        <v>1294</v>
      </c>
      <c r="J29" s="34">
        <f>IFERROR(_xlfn.XLOOKUP(I29,Index!$A:$A,Index!$B:$B),"")</f>
        <v>1291</v>
      </c>
      <c r="L29" s="238"/>
    </row>
    <row r="30" spans="1:12" x14ac:dyDescent="0.2">
      <c r="C30" s="238"/>
      <c r="L30" s="238"/>
    </row>
    <row r="31" spans="1:12" x14ac:dyDescent="0.2">
      <c r="C31" s="238"/>
      <c r="L31" s="238"/>
    </row>
    <row r="32" spans="1:12" x14ac:dyDescent="0.2">
      <c r="C32" s="238"/>
      <c r="L32" s="238"/>
    </row>
    <row r="33" spans="1:16" ht="15.75" x14ac:dyDescent="0.2">
      <c r="A33" s="71" t="s">
        <v>1295</v>
      </c>
      <c r="B33" s="71" t="s">
        <v>468</v>
      </c>
      <c r="C33" s="72"/>
      <c r="D33" s="73"/>
      <c r="E33" s="74"/>
      <c r="F33" s="114"/>
      <c r="G33" s="115"/>
      <c r="H33" s="77"/>
      <c r="I33" s="77"/>
      <c r="J33" s="78"/>
      <c r="L33" s="238"/>
    </row>
    <row r="34" spans="1:16" ht="15.75" x14ac:dyDescent="0.2">
      <c r="A34" s="48" t="s">
        <v>1296</v>
      </c>
      <c r="B34" s="11"/>
      <c r="C34" s="4"/>
      <c r="D34" s="4"/>
      <c r="E34" s="5"/>
      <c r="F34" s="110"/>
      <c r="G34" s="4"/>
      <c r="H34" s="19"/>
      <c r="I34" s="19"/>
      <c r="J34" s="20"/>
      <c r="L34" s="238"/>
    </row>
    <row r="35" spans="1:16" ht="24" x14ac:dyDescent="0.2">
      <c r="A35" s="25" t="s">
        <v>35</v>
      </c>
      <c r="B35" s="28" t="s">
        <v>36</v>
      </c>
      <c r="C35" s="333" t="s">
        <v>37</v>
      </c>
      <c r="D35" s="333"/>
      <c r="E35" s="335" t="s">
        <v>38</v>
      </c>
      <c r="F35" s="335"/>
      <c r="G35" s="335" t="s">
        <v>39</v>
      </c>
      <c r="H35" s="335"/>
      <c r="I35" s="42" t="s">
        <v>40</v>
      </c>
      <c r="J35" s="43" t="s">
        <v>41</v>
      </c>
      <c r="L35" s="238"/>
    </row>
    <row r="36" spans="1:16" x14ac:dyDescent="0.2">
      <c r="A36" s="32"/>
      <c r="B36" s="32"/>
      <c r="C36" s="33" t="s">
        <v>42</v>
      </c>
      <c r="D36" s="33" t="s">
        <v>43</v>
      </c>
      <c r="E36" s="33" t="s">
        <v>44</v>
      </c>
      <c r="F36" s="33" t="s">
        <v>45</v>
      </c>
      <c r="G36" s="33" t="s">
        <v>46</v>
      </c>
      <c r="H36" s="33" t="s">
        <v>47</v>
      </c>
      <c r="I36" s="33"/>
      <c r="J36" s="44"/>
      <c r="L36" s="238"/>
    </row>
    <row r="37" spans="1:16" x14ac:dyDescent="0.2">
      <c r="A37" s="26" t="s">
        <v>1297</v>
      </c>
      <c r="B37" s="26" t="s">
        <v>1298</v>
      </c>
      <c r="C37" s="30" t="s">
        <v>50</v>
      </c>
      <c r="D37" s="35" t="s">
        <v>508</v>
      </c>
      <c r="E37" s="70">
        <v>0.5</v>
      </c>
      <c r="F37" s="38">
        <v>15</v>
      </c>
      <c r="G37" s="38">
        <v>5</v>
      </c>
      <c r="H37" s="38">
        <v>2.2999999999999998</v>
      </c>
      <c r="I37" s="38" t="s">
        <v>1299</v>
      </c>
      <c r="J37" s="34">
        <f>IFERROR(_xlfn.XLOOKUP(I37,Index!$A:$A,Index!$B:$B),"")</f>
        <v>299</v>
      </c>
      <c r="L37" s="238"/>
    </row>
    <row r="38" spans="1:16" x14ac:dyDescent="0.2">
      <c r="A38" s="26"/>
      <c r="B38" s="26"/>
      <c r="C38" s="30"/>
      <c r="D38" s="35" t="s">
        <v>508</v>
      </c>
      <c r="E38" s="64">
        <v>0.75</v>
      </c>
      <c r="F38" s="116">
        <v>20</v>
      </c>
      <c r="G38" s="35">
        <v>4</v>
      </c>
      <c r="H38" s="40">
        <v>1.8</v>
      </c>
      <c r="I38" s="38" t="s">
        <v>1300</v>
      </c>
      <c r="J38" s="34">
        <f>IFERROR(_xlfn.XLOOKUP(I38,Index!$A:$A,Index!$B:$B),"")</f>
        <v>379.5</v>
      </c>
      <c r="L38" s="238"/>
    </row>
    <row r="39" spans="1:16" x14ac:dyDescent="0.2">
      <c r="A39" s="26"/>
      <c r="B39" s="26"/>
      <c r="C39" s="30"/>
      <c r="D39" s="35" t="s">
        <v>508</v>
      </c>
      <c r="E39" s="64">
        <v>1</v>
      </c>
      <c r="F39" s="116">
        <v>25</v>
      </c>
      <c r="G39" s="35">
        <v>6</v>
      </c>
      <c r="H39" s="40">
        <v>2.7</v>
      </c>
      <c r="I39" s="38" t="s">
        <v>1301</v>
      </c>
      <c r="J39" s="34">
        <f>IFERROR(_xlfn.XLOOKUP(I39,Index!$A:$A,Index!$B:$B),"")</f>
        <v>387</v>
      </c>
      <c r="L39" s="238"/>
    </row>
    <row r="40" spans="1:16" x14ac:dyDescent="0.2">
      <c r="A40" s="26"/>
      <c r="B40" s="26"/>
      <c r="C40" s="30"/>
      <c r="D40" s="35" t="s">
        <v>508</v>
      </c>
      <c r="E40" s="64">
        <v>1.25</v>
      </c>
      <c r="F40" s="116">
        <v>32</v>
      </c>
      <c r="G40" s="35">
        <v>10</v>
      </c>
      <c r="H40" s="40">
        <v>4.5</v>
      </c>
      <c r="I40" s="38" t="s">
        <v>1302</v>
      </c>
      <c r="J40" s="34">
        <f>IFERROR(_xlfn.XLOOKUP(I40,Index!$A:$A,Index!$B:$B),"")</f>
        <v>506.5</v>
      </c>
      <c r="L40" s="238"/>
    </row>
    <row r="41" spans="1:16" x14ac:dyDescent="0.2">
      <c r="A41" s="26"/>
      <c r="B41" s="26"/>
      <c r="C41" s="30"/>
      <c r="D41" s="35" t="s">
        <v>508</v>
      </c>
      <c r="E41" s="64">
        <v>1.5</v>
      </c>
      <c r="F41" s="116">
        <v>40</v>
      </c>
      <c r="G41" s="35">
        <v>10</v>
      </c>
      <c r="H41" s="40">
        <v>4.5</v>
      </c>
      <c r="I41" s="38" t="s">
        <v>1303</v>
      </c>
      <c r="J41" s="34">
        <f>IFERROR(_xlfn.XLOOKUP(I41,Index!$A:$A,Index!$B:$B),"")</f>
        <v>556</v>
      </c>
      <c r="L41" s="238"/>
    </row>
    <row r="42" spans="1:16" x14ac:dyDescent="0.2">
      <c r="A42" s="26"/>
      <c r="B42" s="26"/>
      <c r="C42" s="30"/>
      <c r="D42" s="35" t="s">
        <v>508</v>
      </c>
      <c r="E42" s="64">
        <v>2</v>
      </c>
      <c r="F42" s="116">
        <v>50</v>
      </c>
      <c r="G42" s="35">
        <v>19</v>
      </c>
      <c r="H42" s="40">
        <v>8.6</v>
      </c>
      <c r="I42" s="38" t="s">
        <v>1304</v>
      </c>
      <c r="J42" s="34">
        <f>IFERROR(_xlfn.XLOOKUP(I42,Index!$A:$A,Index!$B:$B),"")</f>
        <v>665</v>
      </c>
      <c r="L42" s="238"/>
    </row>
    <row r="43" spans="1:16" x14ac:dyDescent="0.2">
      <c r="A43" s="26"/>
      <c r="B43" s="26"/>
      <c r="C43" s="30"/>
      <c r="D43" s="35" t="s">
        <v>508</v>
      </c>
      <c r="E43" s="64">
        <v>2.5</v>
      </c>
      <c r="F43" s="116">
        <v>65</v>
      </c>
      <c r="G43" s="35">
        <v>28</v>
      </c>
      <c r="H43" s="40">
        <v>12.7</v>
      </c>
      <c r="I43" s="38" t="s">
        <v>1305</v>
      </c>
      <c r="J43" s="34">
        <f>IFERROR(_xlfn.XLOOKUP(I43,Index!$A:$A,Index!$B:$B),"")</f>
        <v>888</v>
      </c>
      <c r="L43" s="238"/>
    </row>
    <row r="44" spans="1:16" x14ac:dyDescent="0.2">
      <c r="A44" s="27"/>
      <c r="B44" s="27"/>
      <c r="C44" s="31"/>
      <c r="D44" s="35" t="s">
        <v>508</v>
      </c>
      <c r="E44" s="64">
        <v>3</v>
      </c>
      <c r="F44" s="116">
        <v>80</v>
      </c>
      <c r="G44" s="35">
        <v>47</v>
      </c>
      <c r="H44" s="40">
        <v>21.3</v>
      </c>
      <c r="I44" s="38" t="s">
        <v>1306</v>
      </c>
      <c r="J44" s="34">
        <f>IFERROR(_xlfn.XLOOKUP(I44,Index!$A:$A,Index!$B:$B),"")</f>
        <v>1080</v>
      </c>
      <c r="L44" s="238"/>
    </row>
    <row r="45" spans="1:16" x14ac:dyDescent="0.2">
      <c r="C45" s="238"/>
      <c r="L45" s="238"/>
    </row>
    <row r="46" spans="1:16" x14ac:dyDescent="0.2">
      <c r="C46" s="238"/>
      <c r="L46" s="238"/>
    </row>
    <row r="47" spans="1:16" x14ac:dyDescent="0.2">
      <c r="C47" s="238"/>
      <c r="L47" s="238"/>
    </row>
    <row r="48" spans="1:16" s="1" customFormat="1" ht="15.75" x14ac:dyDescent="0.2">
      <c r="A48" s="71" t="s">
        <v>1307</v>
      </c>
      <c r="B48" s="18"/>
      <c r="C48" s="18"/>
      <c r="D48" s="49"/>
      <c r="E48" s="50"/>
      <c r="F48" s="101"/>
      <c r="G48" s="108"/>
      <c r="H48" s="53"/>
      <c r="I48" s="53"/>
      <c r="J48" s="54"/>
      <c r="K48" s="238"/>
      <c r="L48" s="238"/>
      <c r="M48" s="238"/>
      <c r="N48" s="238"/>
      <c r="O48" s="238"/>
      <c r="P48" s="238"/>
    </row>
    <row r="49" spans="1:16" s="1" customFormat="1" ht="15.75" x14ac:dyDescent="0.2">
      <c r="A49" s="48" t="s">
        <v>102</v>
      </c>
      <c r="B49" s="57"/>
      <c r="C49" s="58"/>
      <c r="D49" s="58"/>
      <c r="E49" s="59"/>
      <c r="F49" s="101"/>
      <c r="G49" s="58"/>
      <c r="H49" s="53"/>
      <c r="I49" s="53"/>
      <c r="J49" s="54"/>
      <c r="K49" s="238"/>
      <c r="L49" s="238"/>
      <c r="M49" s="238"/>
      <c r="N49" s="238"/>
      <c r="O49" s="238"/>
      <c r="P49" s="238"/>
    </row>
    <row r="50" spans="1:16" s="1" customFormat="1" x14ac:dyDescent="0.2">
      <c r="A50" s="25" t="s">
        <v>35</v>
      </c>
      <c r="B50" s="28" t="s">
        <v>103</v>
      </c>
      <c r="C50" s="335" t="s">
        <v>38</v>
      </c>
      <c r="D50" s="336"/>
      <c r="E50" s="42" t="s">
        <v>40</v>
      </c>
      <c r="F50" s="43" t="s">
        <v>41</v>
      </c>
      <c r="G50" s="238"/>
      <c r="H50" s="238"/>
      <c r="I50" s="238"/>
      <c r="J50" s="238"/>
      <c r="K50" s="238"/>
      <c r="L50" s="238"/>
    </row>
    <row r="51" spans="1:16" s="1" customFormat="1" x14ac:dyDescent="0.2">
      <c r="A51" s="32"/>
      <c r="B51" s="32"/>
      <c r="C51" s="33" t="s">
        <v>44</v>
      </c>
      <c r="D51" s="33" t="s">
        <v>45</v>
      </c>
      <c r="E51" s="33"/>
      <c r="F51" s="44"/>
      <c r="G51" s="238"/>
      <c r="H51" s="238"/>
      <c r="I51" s="238"/>
      <c r="J51" s="238"/>
      <c r="K51" s="238"/>
      <c r="L51" s="238"/>
    </row>
    <row r="52" spans="1:16" s="1" customFormat="1" x14ac:dyDescent="0.2">
      <c r="A52" s="60" t="s">
        <v>5560</v>
      </c>
      <c r="B52" s="60" t="s">
        <v>1308</v>
      </c>
      <c r="C52" s="65">
        <v>0.5</v>
      </c>
      <c r="D52" s="35">
        <v>15</v>
      </c>
      <c r="E52" s="35" t="s">
        <v>1309</v>
      </c>
      <c r="F52" s="34">
        <f>IFERROR(_xlfn.XLOOKUP(E52,Index!$A:$A,Index!$B:$B),"")</f>
        <v>6</v>
      </c>
      <c r="G52" s="238"/>
      <c r="H52" s="238"/>
      <c r="I52" s="238"/>
      <c r="J52" s="238"/>
      <c r="K52" s="238"/>
      <c r="L52" s="238"/>
    </row>
    <row r="53" spans="1:16" s="55" customFormat="1" x14ac:dyDescent="0.2">
      <c r="A53" s="26"/>
      <c r="B53" s="26"/>
      <c r="C53" s="65">
        <v>0.75</v>
      </c>
      <c r="D53" s="35">
        <v>20</v>
      </c>
      <c r="E53" s="35" t="s">
        <v>1309</v>
      </c>
      <c r="F53" s="34">
        <f>IFERROR(_xlfn.XLOOKUP(E53,Index!$A:$A,Index!$B:$B),"")</f>
        <v>6</v>
      </c>
      <c r="G53" s="238"/>
      <c r="H53" s="238"/>
      <c r="I53" s="238"/>
      <c r="J53" s="238"/>
      <c r="K53" s="238"/>
      <c r="L53" s="238"/>
    </row>
    <row r="54" spans="1:16" s="55" customFormat="1" x14ac:dyDescent="0.2">
      <c r="A54" s="26"/>
      <c r="B54" s="26"/>
      <c r="C54" s="65">
        <v>1</v>
      </c>
      <c r="D54" s="35">
        <v>25</v>
      </c>
      <c r="E54" s="35" t="s">
        <v>1310</v>
      </c>
      <c r="F54" s="34">
        <f>IFERROR(_xlfn.XLOOKUP(E54,Index!$A:$A,Index!$B:$B),"")</f>
        <v>6</v>
      </c>
      <c r="G54" s="238"/>
      <c r="H54" s="238"/>
      <c r="I54" s="238"/>
      <c r="J54" s="238"/>
      <c r="K54" s="238"/>
      <c r="L54" s="238"/>
    </row>
    <row r="55" spans="1:16" s="1" customFormat="1" x14ac:dyDescent="0.2">
      <c r="A55" s="26"/>
      <c r="B55" s="26"/>
      <c r="C55" s="65">
        <v>1.25</v>
      </c>
      <c r="D55" s="35">
        <v>32</v>
      </c>
      <c r="E55" s="35" t="s">
        <v>1311</v>
      </c>
      <c r="F55" s="34">
        <f>IFERROR(_xlfn.XLOOKUP(E55,Index!$A:$A,Index!$B:$B),"")</f>
        <v>8.5</v>
      </c>
      <c r="G55" s="238"/>
      <c r="H55" s="238"/>
      <c r="I55" s="238"/>
      <c r="J55" s="238"/>
      <c r="K55" s="238"/>
      <c r="L55" s="238"/>
    </row>
    <row r="56" spans="1:16" s="1" customFormat="1" x14ac:dyDescent="0.2">
      <c r="A56" s="26"/>
      <c r="B56" s="26"/>
      <c r="C56" s="65">
        <v>1.5</v>
      </c>
      <c r="D56" s="35">
        <v>40</v>
      </c>
      <c r="E56" s="35" t="s">
        <v>1311</v>
      </c>
      <c r="F56" s="34">
        <f>IFERROR(_xlfn.XLOOKUP(E56,Index!$A:$A,Index!$B:$B),"")</f>
        <v>8.5</v>
      </c>
      <c r="G56" s="238"/>
      <c r="H56" s="238"/>
      <c r="I56" s="238"/>
      <c r="J56" s="238"/>
      <c r="K56" s="238"/>
      <c r="L56" s="238"/>
    </row>
    <row r="57" spans="1:16" s="1" customFormat="1" x14ac:dyDescent="0.2">
      <c r="A57" s="26"/>
      <c r="B57" s="26"/>
      <c r="C57" s="65">
        <v>2</v>
      </c>
      <c r="D57" s="35">
        <v>50</v>
      </c>
      <c r="E57" s="35" t="s">
        <v>1312</v>
      </c>
      <c r="F57" s="34">
        <f>IFERROR(_xlfn.XLOOKUP(E57,Index!$A:$A,Index!$B:$B),"")</f>
        <v>9</v>
      </c>
      <c r="G57" s="238"/>
      <c r="H57" s="238"/>
      <c r="I57" s="238"/>
      <c r="J57" s="238"/>
      <c r="K57" s="238"/>
      <c r="L57" s="238"/>
    </row>
    <row r="58" spans="1:16" s="1" customFormat="1" x14ac:dyDescent="0.2">
      <c r="A58" s="26"/>
      <c r="B58" s="26"/>
      <c r="C58" s="65">
        <v>2.5</v>
      </c>
      <c r="D58" s="35">
        <v>65</v>
      </c>
      <c r="E58" s="35" t="s">
        <v>1313</v>
      </c>
      <c r="F58" s="34">
        <f>IFERROR(_xlfn.XLOOKUP(E58,Index!$A:$A,Index!$B:$B),"")</f>
        <v>12.5</v>
      </c>
      <c r="G58" s="238"/>
      <c r="H58" s="238"/>
      <c r="I58" s="238"/>
      <c r="J58" s="238"/>
      <c r="K58" s="238"/>
      <c r="L58" s="238"/>
    </row>
    <row r="59" spans="1:16" s="1" customFormat="1" x14ac:dyDescent="0.2">
      <c r="A59" s="26"/>
      <c r="B59" s="26"/>
      <c r="C59" s="65">
        <v>3</v>
      </c>
      <c r="D59" s="35">
        <v>80</v>
      </c>
      <c r="E59" s="35" t="s">
        <v>1314</v>
      </c>
      <c r="F59" s="34">
        <f>IFERROR(_xlfn.XLOOKUP(E59,Index!$A:$A,Index!$B:$B),"")</f>
        <v>12.5</v>
      </c>
      <c r="G59" s="238"/>
      <c r="H59" s="238"/>
      <c r="I59" s="238"/>
      <c r="J59" s="238"/>
      <c r="K59" s="238"/>
      <c r="L59" s="238"/>
    </row>
    <row r="60" spans="1:16" s="1" customFormat="1" x14ac:dyDescent="0.2">
      <c r="A60" s="99"/>
      <c r="B60" s="132" t="s">
        <v>1315</v>
      </c>
      <c r="C60" s="65">
        <v>0.5</v>
      </c>
      <c r="D60" s="35">
        <v>15</v>
      </c>
      <c r="E60" s="35" t="s">
        <v>1316</v>
      </c>
      <c r="F60" s="34">
        <f>IFERROR(_xlfn.XLOOKUP(E60,Index!$A:$A,Index!$B:$B),"")</f>
        <v>6</v>
      </c>
      <c r="G60" s="238"/>
      <c r="H60" s="238"/>
      <c r="I60" s="238"/>
      <c r="J60" s="238"/>
      <c r="K60" s="238"/>
      <c r="L60" s="238"/>
    </row>
    <row r="61" spans="1:16" s="55" customFormat="1" x14ac:dyDescent="0.2">
      <c r="A61" s="26"/>
      <c r="B61" s="26"/>
      <c r="C61" s="65">
        <v>0.75</v>
      </c>
      <c r="D61" s="35">
        <v>20</v>
      </c>
      <c r="E61" s="35" t="s">
        <v>1316</v>
      </c>
      <c r="F61" s="34">
        <f>IFERROR(_xlfn.XLOOKUP(E61,Index!$A:$A,Index!$B:$B),"")</f>
        <v>6</v>
      </c>
      <c r="G61" s="238"/>
      <c r="H61" s="238"/>
      <c r="I61" s="238"/>
      <c r="J61" s="238"/>
      <c r="K61" s="238"/>
      <c r="L61" s="238"/>
    </row>
    <row r="62" spans="1:16" s="55" customFormat="1" x14ac:dyDescent="0.2">
      <c r="A62" s="26"/>
      <c r="B62" s="26"/>
      <c r="C62" s="65">
        <v>1</v>
      </c>
      <c r="D62" s="35">
        <v>25</v>
      </c>
      <c r="E62" s="35" t="s">
        <v>1317</v>
      </c>
      <c r="F62" s="34">
        <f>IFERROR(_xlfn.XLOOKUP(E62,Index!$A:$A,Index!$B:$B),"")</f>
        <v>6</v>
      </c>
      <c r="G62" s="238"/>
      <c r="H62" s="238"/>
      <c r="I62" s="238"/>
      <c r="J62" s="238"/>
      <c r="K62" s="238"/>
      <c r="L62" s="238"/>
    </row>
    <row r="63" spans="1:16" s="1" customFormat="1" x14ac:dyDescent="0.2">
      <c r="A63" s="26"/>
      <c r="B63" s="26"/>
      <c r="C63" s="65">
        <v>1.25</v>
      </c>
      <c r="D63" s="35">
        <v>32</v>
      </c>
      <c r="E63" s="35" t="s">
        <v>1318</v>
      </c>
      <c r="F63" s="34">
        <f>IFERROR(_xlfn.XLOOKUP(E63,Index!$A:$A,Index!$B:$B),"")</f>
        <v>8.5</v>
      </c>
      <c r="G63" s="238"/>
      <c r="H63" s="238"/>
      <c r="I63" s="238"/>
      <c r="J63" s="238"/>
      <c r="K63" s="238"/>
      <c r="L63" s="238"/>
    </row>
    <row r="64" spans="1:16" s="1" customFormat="1" x14ac:dyDescent="0.2">
      <c r="A64" s="26"/>
      <c r="B64" s="26"/>
      <c r="C64" s="65">
        <v>1.5</v>
      </c>
      <c r="D64" s="35">
        <v>40</v>
      </c>
      <c r="E64" s="35" t="s">
        <v>1318</v>
      </c>
      <c r="F64" s="34">
        <f>IFERROR(_xlfn.XLOOKUP(E64,Index!$A:$A,Index!$B:$B),"")</f>
        <v>8.5</v>
      </c>
      <c r="G64" s="238"/>
      <c r="H64" s="238"/>
      <c r="I64" s="238"/>
      <c r="J64" s="238"/>
      <c r="K64" s="238"/>
      <c r="L64" s="238"/>
    </row>
    <row r="65" spans="1:12" s="1" customFormat="1" x14ac:dyDescent="0.2">
      <c r="A65" s="26"/>
      <c r="B65" s="26"/>
      <c r="C65" s="65">
        <v>2</v>
      </c>
      <c r="D65" s="35">
        <v>50</v>
      </c>
      <c r="E65" s="35" t="s">
        <v>1311</v>
      </c>
      <c r="F65" s="34">
        <f>IFERROR(_xlfn.XLOOKUP(E65,Index!$A:$A,Index!$B:$B),"")</f>
        <v>8.5</v>
      </c>
      <c r="G65" s="238"/>
      <c r="H65" s="238"/>
      <c r="I65" s="238"/>
      <c r="J65" s="238"/>
      <c r="K65" s="238"/>
      <c r="L65" s="238"/>
    </row>
    <row r="66" spans="1:12" s="1" customFormat="1" x14ac:dyDescent="0.2">
      <c r="A66" s="26"/>
      <c r="B66" s="26"/>
      <c r="C66" s="65">
        <v>2.5</v>
      </c>
      <c r="D66" s="35">
        <v>65</v>
      </c>
      <c r="E66" s="35" t="s">
        <v>1319</v>
      </c>
      <c r="F66" s="34">
        <f>IFERROR(_xlfn.XLOOKUP(E66,Index!$A:$A,Index!$B:$B),"")</f>
        <v>12.5</v>
      </c>
      <c r="G66" s="238"/>
      <c r="H66" s="238"/>
      <c r="I66" s="238"/>
      <c r="J66" s="238"/>
      <c r="K66" s="238"/>
      <c r="L66" s="238"/>
    </row>
    <row r="67" spans="1:12" s="1" customFormat="1" x14ac:dyDescent="0.2">
      <c r="A67" s="26"/>
      <c r="B67" s="26"/>
      <c r="C67" s="65">
        <v>3</v>
      </c>
      <c r="D67" s="35">
        <v>80</v>
      </c>
      <c r="E67" s="35" t="s">
        <v>1320</v>
      </c>
      <c r="F67" s="34">
        <f>IFERROR(_xlfn.XLOOKUP(E67,Index!$A:$A,Index!$B:$B),"")</f>
        <v>12.5</v>
      </c>
      <c r="G67" s="238"/>
      <c r="H67" s="238"/>
      <c r="I67" s="238"/>
      <c r="J67" s="238"/>
      <c r="K67" s="238"/>
      <c r="L67" s="238"/>
    </row>
    <row r="68" spans="1:12" s="1" customFormat="1" x14ac:dyDescent="0.2">
      <c r="A68" s="66"/>
      <c r="B68" s="60" t="s">
        <v>210</v>
      </c>
      <c r="C68" s="67">
        <v>0.5</v>
      </c>
      <c r="D68" s="35">
        <v>15</v>
      </c>
      <c r="E68" s="35" t="s">
        <v>1321</v>
      </c>
      <c r="F68" s="34">
        <f>IFERROR(_xlfn.XLOOKUP(E68,Index!$A:$A,Index!$B:$B),"")</f>
        <v>416</v>
      </c>
      <c r="G68" s="238"/>
      <c r="H68" s="238"/>
      <c r="I68" s="238"/>
      <c r="J68" s="238"/>
      <c r="K68" s="238"/>
      <c r="L68" s="238"/>
    </row>
    <row r="69" spans="1:12" s="1" customFormat="1" x14ac:dyDescent="0.2">
      <c r="A69" s="26"/>
      <c r="B69" s="26"/>
      <c r="C69" s="65">
        <v>0.75</v>
      </c>
      <c r="D69" s="35">
        <v>20</v>
      </c>
      <c r="E69" s="35" t="s">
        <v>1321</v>
      </c>
      <c r="F69" s="34">
        <f>IFERROR(_xlfn.XLOOKUP(E69,Index!$A:$A,Index!$B:$B),"")</f>
        <v>416</v>
      </c>
      <c r="G69" s="238"/>
      <c r="H69" s="238"/>
      <c r="I69" s="238"/>
      <c r="J69" s="238"/>
      <c r="K69" s="238"/>
      <c r="L69" s="238"/>
    </row>
    <row r="70" spans="1:12" s="1" customFormat="1" x14ac:dyDescent="0.2">
      <c r="A70" s="26"/>
      <c r="B70" s="26"/>
      <c r="C70" s="65">
        <v>1</v>
      </c>
      <c r="D70" s="35">
        <v>25</v>
      </c>
      <c r="E70" s="35" t="s">
        <v>1322</v>
      </c>
      <c r="F70" s="34">
        <f>IFERROR(_xlfn.XLOOKUP(E70,Index!$A:$A,Index!$B:$B),"")</f>
        <v>416</v>
      </c>
      <c r="G70" s="238"/>
      <c r="H70" s="238"/>
      <c r="I70" s="238"/>
      <c r="J70" s="238"/>
      <c r="K70" s="238"/>
      <c r="L70" s="238"/>
    </row>
    <row r="71" spans="1:12" s="1" customFormat="1" x14ac:dyDescent="0.2">
      <c r="A71" s="26"/>
      <c r="B71" s="26"/>
      <c r="C71" s="65">
        <v>1.25</v>
      </c>
      <c r="D71" s="35">
        <v>32</v>
      </c>
      <c r="E71" s="35" t="s">
        <v>1323</v>
      </c>
      <c r="F71" s="34">
        <f>IFERROR(_xlfn.XLOOKUP(E71,Index!$A:$A,Index!$B:$B),"")</f>
        <v>457.5</v>
      </c>
      <c r="G71" s="238"/>
      <c r="H71" s="238"/>
      <c r="I71" s="238"/>
      <c r="J71" s="238"/>
      <c r="K71" s="238"/>
      <c r="L71" s="238"/>
    </row>
    <row r="72" spans="1:12" s="1" customFormat="1" x14ac:dyDescent="0.2">
      <c r="A72" s="26"/>
      <c r="B72" s="26"/>
      <c r="C72" s="65">
        <v>1.5</v>
      </c>
      <c r="D72" s="35">
        <v>40</v>
      </c>
      <c r="E72" s="35" t="s">
        <v>1323</v>
      </c>
      <c r="F72" s="34">
        <f>IFERROR(_xlfn.XLOOKUP(E72,Index!$A:$A,Index!$B:$B),"")</f>
        <v>457.5</v>
      </c>
      <c r="G72" s="238"/>
      <c r="H72" s="238"/>
      <c r="I72" s="238"/>
      <c r="J72" s="238"/>
      <c r="K72" s="238"/>
      <c r="L72" s="238"/>
    </row>
    <row r="73" spans="1:12" s="1" customFormat="1" x14ac:dyDescent="0.2">
      <c r="A73" s="26"/>
      <c r="B73" s="26"/>
      <c r="C73" s="65">
        <v>2</v>
      </c>
      <c r="D73" s="35">
        <v>50</v>
      </c>
      <c r="E73" s="35" t="s">
        <v>1324</v>
      </c>
      <c r="F73" s="34">
        <f>IFERROR(_xlfn.XLOOKUP(E73,Index!$A:$A,Index!$B:$B),"")</f>
        <v>457.5</v>
      </c>
      <c r="G73" s="238"/>
      <c r="H73" s="238"/>
      <c r="I73" s="238"/>
      <c r="J73" s="238"/>
      <c r="K73" s="238"/>
      <c r="L73" s="238"/>
    </row>
    <row r="74" spans="1:12" s="1" customFormat="1" x14ac:dyDescent="0.2">
      <c r="A74" s="66"/>
      <c r="B74" s="26"/>
      <c r="C74" s="67">
        <v>2.5</v>
      </c>
      <c r="D74" s="35">
        <v>65</v>
      </c>
      <c r="E74" s="252" t="s">
        <v>1325</v>
      </c>
      <c r="F74" s="34">
        <f>IFERROR(_xlfn.XLOOKUP(E74,Index!$A:$A,Index!$B:$B),"")</f>
        <v>582</v>
      </c>
      <c r="G74" s="238"/>
      <c r="H74" s="238"/>
      <c r="I74" s="238"/>
      <c r="J74" s="238"/>
      <c r="K74" s="238"/>
      <c r="L74" s="238"/>
    </row>
    <row r="75" spans="1:12" s="1" customFormat="1" x14ac:dyDescent="0.2">
      <c r="A75" s="26"/>
      <c r="B75" s="26"/>
      <c r="C75" s="65">
        <v>3</v>
      </c>
      <c r="D75" s="35">
        <v>80</v>
      </c>
      <c r="E75" s="35" t="s">
        <v>1326</v>
      </c>
      <c r="F75" s="34">
        <f>IFERROR(_xlfn.XLOOKUP(E75,Index!$A:$A,Index!$B:$B),"")</f>
        <v>582</v>
      </c>
      <c r="G75" s="238"/>
      <c r="H75" s="238"/>
      <c r="I75" s="238"/>
      <c r="J75" s="238"/>
      <c r="K75" s="238"/>
      <c r="L75" s="238"/>
    </row>
    <row r="76" spans="1:12" s="1" customFormat="1" ht="12.75" customHeight="1" x14ac:dyDescent="0.2">
      <c r="A76" s="26"/>
      <c r="B76" s="60" t="s">
        <v>211</v>
      </c>
      <c r="C76" s="65">
        <v>0.5</v>
      </c>
      <c r="D76" s="35">
        <v>15</v>
      </c>
      <c r="E76" s="35" t="s">
        <v>1327</v>
      </c>
      <c r="F76" s="34">
        <f>IFERROR(_xlfn.XLOOKUP(E76,Index!$A:$A,Index!$B:$B),"")</f>
        <v>498.5</v>
      </c>
      <c r="G76" s="238"/>
      <c r="H76" s="238"/>
      <c r="I76" s="238"/>
      <c r="J76" s="238"/>
      <c r="K76" s="238"/>
      <c r="L76" s="238"/>
    </row>
    <row r="77" spans="1:12" s="1" customFormat="1" ht="12.75" customHeight="1" x14ac:dyDescent="0.2">
      <c r="A77" s="26"/>
      <c r="B77" s="26"/>
      <c r="C77" s="65">
        <v>0.75</v>
      </c>
      <c r="D77" s="35">
        <v>20</v>
      </c>
      <c r="E77" s="35" t="s">
        <v>1328</v>
      </c>
      <c r="F77" s="34">
        <f>IFERROR(_xlfn.XLOOKUP(E77,Index!$A:$A,Index!$B:$B),"")</f>
        <v>498.5</v>
      </c>
      <c r="G77" s="238"/>
      <c r="H77" s="238"/>
      <c r="I77" s="238"/>
      <c r="J77" s="238"/>
      <c r="K77" s="238"/>
      <c r="L77" s="238"/>
    </row>
    <row r="78" spans="1:12" s="1" customFormat="1" ht="12.75" customHeight="1" x14ac:dyDescent="0.2">
      <c r="A78" s="26"/>
      <c r="B78" s="26"/>
      <c r="C78" s="65">
        <v>1</v>
      </c>
      <c r="D78" s="35">
        <v>25</v>
      </c>
      <c r="E78" s="35" t="s">
        <v>1328</v>
      </c>
      <c r="F78" s="34">
        <f>IFERROR(_xlfn.XLOOKUP(E78,Index!$A:$A,Index!$B:$B),"")</f>
        <v>498.5</v>
      </c>
      <c r="G78" s="238"/>
      <c r="H78" s="238"/>
      <c r="I78" s="238"/>
      <c r="J78" s="238"/>
      <c r="K78" s="238"/>
      <c r="L78" s="238"/>
    </row>
    <row r="79" spans="1:12" s="1" customFormat="1" ht="12.75" customHeight="1" x14ac:dyDescent="0.2">
      <c r="A79" s="26"/>
      <c r="B79" s="26"/>
      <c r="C79" s="65">
        <v>1.25</v>
      </c>
      <c r="D79" s="35">
        <v>32</v>
      </c>
      <c r="E79" s="35" t="s">
        <v>1329</v>
      </c>
      <c r="F79" s="34">
        <f>IFERROR(_xlfn.XLOOKUP(E79,Index!$A:$A,Index!$B:$B),"")</f>
        <v>541</v>
      </c>
      <c r="G79" s="238"/>
      <c r="H79" s="238"/>
      <c r="I79" s="238"/>
      <c r="J79" s="238"/>
      <c r="K79" s="238"/>
      <c r="L79" s="238"/>
    </row>
    <row r="80" spans="1:12" s="1" customFormat="1" ht="12.75" customHeight="1" x14ac:dyDescent="0.2">
      <c r="A80" s="26"/>
      <c r="B80" s="26"/>
      <c r="C80" s="65">
        <v>1.5</v>
      </c>
      <c r="D80" s="35">
        <v>40</v>
      </c>
      <c r="E80" s="35" t="s">
        <v>1330</v>
      </c>
      <c r="F80" s="34">
        <f>IFERROR(_xlfn.XLOOKUP(E80,Index!$A:$A,Index!$B:$B),"")</f>
        <v>541</v>
      </c>
      <c r="G80" s="238"/>
      <c r="H80" s="238"/>
      <c r="I80" s="238"/>
      <c r="J80" s="238"/>
      <c r="K80" s="238"/>
      <c r="L80" s="238"/>
    </row>
    <row r="81" spans="1:12" s="1" customFormat="1" ht="12.75" customHeight="1" x14ac:dyDescent="0.2">
      <c r="A81" s="26"/>
      <c r="B81" s="26"/>
      <c r="C81" s="65">
        <v>2</v>
      </c>
      <c r="D81" s="35">
        <v>50</v>
      </c>
      <c r="E81" s="35" t="s">
        <v>1331</v>
      </c>
      <c r="F81" s="34">
        <f>IFERROR(_xlfn.XLOOKUP(E81,Index!$A:$A,Index!$B:$B),"")</f>
        <v>541</v>
      </c>
      <c r="G81" s="238"/>
      <c r="H81" s="238"/>
      <c r="I81" s="238"/>
      <c r="J81" s="238"/>
      <c r="K81" s="238"/>
      <c r="L81" s="238"/>
    </row>
    <row r="82" spans="1:12" s="1" customFormat="1" ht="12.75" customHeight="1" x14ac:dyDescent="0.2">
      <c r="A82" s="26"/>
      <c r="B82" s="26"/>
      <c r="C82" s="65">
        <v>2.5</v>
      </c>
      <c r="D82" s="35">
        <v>65</v>
      </c>
      <c r="E82" s="35" t="s">
        <v>1332</v>
      </c>
      <c r="F82" s="34">
        <f>IFERROR(_xlfn.XLOOKUP(E82,Index!$A:$A,Index!$B:$B),"")</f>
        <v>996.5</v>
      </c>
      <c r="G82" s="238"/>
      <c r="H82" s="238"/>
      <c r="I82" s="238"/>
      <c r="J82" s="238"/>
      <c r="K82" s="238"/>
      <c r="L82" s="238"/>
    </row>
    <row r="83" spans="1:12" s="1" customFormat="1" ht="12.75" customHeight="1" x14ac:dyDescent="0.2">
      <c r="A83" s="26"/>
      <c r="B83" s="26"/>
      <c r="C83" s="65">
        <v>3</v>
      </c>
      <c r="D83" s="35">
        <v>80</v>
      </c>
      <c r="E83" s="35" t="s">
        <v>1333</v>
      </c>
      <c r="F83" s="34">
        <f>IFERROR(_xlfn.XLOOKUP(E83,Index!$A:$A,Index!$B:$B),"")</f>
        <v>996.5</v>
      </c>
      <c r="G83" s="238"/>
      <c r="H83" s="238"/>
      <c r="I83" s="238"/>
      <c r="J83" s="238"/>
      <c r="K83" s="238"/>
      <c r="L83" s="238"/>
    </row>
    <row r="84" spans="1:12" s="1" customFormat="1" x14ac:dyDescent="0.2">
      <c r="A84" s="26"/>
      <c r="B84" s="60" t="s">
        <v>122</v>
      </c>
      <c r="C84" s="65">
        <v>0.5</v>
      </c>
      <c r="D84" s="35">
        <v>15</v>
      </c>
      <c r="E84" s="35" t="s">
        <v>1334</v>
      </c>
      <c r="F84" s="34">
        <f>IFERROR(_xlfn.XLOOKUP(E84,Index!$A:$A,Index!$B:$B),"")</f>
        <v>498.5</v>
      </c>
      <c r="G84" s="238"/>
      <c r="H84" s="238"/>
      <c r="I84" s="238"/>
      <c r="J84" s="238"/>
      <c r="K84" s="238"/>
      <c r="L84" s="238"/>
    </row>
    <row r="85" spans="1:12" s="1" customFormat="1" x14ac:dyDescent="0.2">
      <c r="A85" s="26"/>
      <c r="B85" s="26"/>
      <c r="C85" s="65">
        <v>0.75</v>
      </c>
      <c r="D85" s="35">
        <v>20</v>
      </c>
      <c r="E85" s="35" t="s">
        <v>1335</v>
      </c>
      <c r="F85" s="34">
        <f>IFERROR(_xlfn.XLOOKUP(E85,Index!$A:$A,Index!$B:$B),"")</f>
        <v>498.5</v>
      </c>
      <c r="G85" s="238"/>
      <c r="H85" s="238"/>
      <c r="I85" s="238"/>
      <c r="J85" s="238"/>
      <c r="K85" s="238"/>
      <c r="L85" s="238"/>
    </row>
    <row r="86" spans="1:12" s="1" customFormat="1" x14ac:dyDescent="0.2">
      <c r="A86" s="26"/>
      <c r="B86" s="26"/>
      <c r="C86" s="65">
        <v>1</v>
      </c>
      <c r="D86" s="35">
        <v>25</v>
      </c>
      <c r="E86" s="35" t="s">
        <v>1335</v>
      </c>
      <c r="F86" s="34">
        <f>IFERROR(_xlfn.XLOOKUP(E86,Index!$A:$A,Index!$B:$B),"")</f>
        <v>498.5</v>
      </c>
      <c r="G86" s="238"/>
      <c r="H86" s="238"/>
      <c r="I86" s="238"/>
      <c r="J86" s="238"/>
      <c r="K86" s="238"/>
      <c r="L86" s="238"/>
    </row>
    <row r="87" spans="1:12" s="1" customFormat="1" x14ac:dyDescent="0.2">
      <c r="A87" s="26"/>
      <c r="B87" s="26"/>
      <c r="C87" s="65">
        <v>1.25</v>
      </c>
      <c r="D87" s="35">
        <v>32</v>
      </c>
      <c r="E87" s="35" t="s">
        <v>1336</v>
      </c>
      <c r="F87" s="34">
        <f>IFERROR(_xlfn.XLOOKUP(E87,Index!$A:$A,Index!$B:$B),"")</f>
        <v>541</v>
      </c>
      <c r="G87" s="238"/>
      <c r="H87" s="238"/>
      <c r="I87" s="238"/>
      <c r="J87" s="238"/>
      <c r="K87" s="238"/>
      <c r="L87" s="238"/>
    </row>
    <row r="88" spans="1:12" s="1" customFormat="1" x14ac:dyDescent="0.2">
      <c r="A88" s="26"/>
      <c r="B88" s="26"/>
      <c r="C88" s="65">
        <v>1.5</v>
      </c>
      <c r="D88" s="35">
        <v>40</v>
      </c>
      <c r="E88" s="35" t="s">
        <v>1336</v>
      </c>
      <c r="F88" s="34">
        <f>IFERROR(_xlfn.XLOOKUP(E88,Index!$A:$A,Index!$B:$B),"")</f>
        <v>541</v>
      </c>
      <c r="G88" s="238"/>
      <c r="H88" s="238"/>
      <c r="I88" s="238"/>
      <c r="J88" s="238"/>
      <c r="K88" s="238"/>
      <c r="L88" s="238"/>
    </row>
    <row r="89" spans="1:12" s="1" customFormat="1" x14ac:dyDescent="0.2">
      <c r="A89" s="26"/>
      <c r="B89" s="26"/>
      <c r="C89" s="65">
        <v>2</v>
      </c>
      <c r="D89" s="35">
        <v>50</v>
      </c>
      <c r="E89" s="35" t="s">
        <v>1337</v>
      </c>
      <c r="F89" s="34">
        <f>IFERROR(_xlfn.XLOOKUP(E89,Index!$A:$A,Index!$B:$B),"")</f>
        <v>541</v>
      </c>
      <c r="G89" s="238"/>
      <c r="H89" s="238"/>
      <c r="I89" s="238"/>
      <c r="J89" s="238"/>
      <c r="K89" s="238"/>
      <c r="L89" s="238"/>
    </row>
    <row r="90" spans="1:12" s="1" customFormat="1" x14ac:dyDescent="0.2">
      <c r="A90" s="26"/>
      <c r="B90" s="26"/>
      <c r="C90" s="65">
        <v>2.5</v>
      </c>
      <c r="D90" s="35">
        <v>65</v>
      </c>
      <c r="E90" s="35" t="s">
        <v>1338</v>
      </c>
      <c r="F90" s="34">
        <f>IFERROR(_xlfn.XLOOKUP(E90,Index!$A:$A,Index!$B:$B),"")</f>
        <v>996.5</v>
      </c>
      <c r="G90" s="238"/>
      <c r="H90" s="238"/>
      <c r="I90" s="238"/>
      <c r="J90" s="238"/>
      <c r="K90" s="238"/>
      <c r="L90" s="238"/>
    </row>
    <row r="91" spans="1:12" s="1" customFormat="1" x14ac:dyDescent="0.2">
      <c r="A91" s="26"/>
      <c r="B91" s="26"/>
      <c r="C91" s="65">
        <v>3</v>
      </c>
      <c r="D91" s="35">
        <v>80</v>
      </c>
      <c r="E91" s="35" t="s">
        <v>1339</v>
      </c>
      <c r="F91" s="34">
        <f>IFERROR(_xlfn.XLOOKUP(E91,Index!$A:$A,Index!$B:$B),"")</f>
        <v>996.5</v>
      </c>
      <c r="G91" s="238"/>
      <c r="H91" s="238"/>
      <c r="I91" s="238"/>
      <c r="J91" s="238"/>
      <c r="K91" s="238"/>
      <c r="L91" s="238"/>
    </row>
    <row r="92" spans="1:12" s="1" customFormat="1" x14ac:dyDescent="0.2">
      <c r="A92" s="26"/>
      <c r="B92" s="60" t="s">
        <v>134</v>
      </c>
      <c r="C92" s="65">
        <v>0.5</v>
      </c>
      <c r="D92" s="35">
        <v>15</v>
      </c>
      <c r="E92" s="35" t="s">
        <v>1340</v>
      </c>
      <c r="F92" s="34">
        <f>IFERROR(_xlfn.XLOOKUP(E92,Index!$A:$A,Index!$B:$B),"")</f>
        <v>498.5</v>
      </c>
      <c r="G92" s="238"/>
      <c r="H92" s="238"/>
      <c r="I92" s="238"/>
      <c r="J92" s="238"/>
      <c r="K92" s="238"/>
      <c r="L92" s="238"/>
    </row>
    <row r="93" spans="1:12" s="1" customFormat="1" x14ac:dyDescent="0.2">
      <c r="A93" s="26"/>
      <c r="B93" s="26"/>
      <c r="C93" s="65">
        <v>0.75</v>
      </c>
      <c r="D93" s="35">
        <v>20</v>
      </c>
      <c r="E93" s="35" t="s">
        <v>1340</v>
      </c>
      <c r="F93" s="34">
        <f>IFERROR(_xlfn.XLOOKUP(E93,Index!$A:$A,Index!$B:$B),"")</f>
        <v>498.5</v>
      </c>
      <c r="G93" s="238"/>
      <c r="H93" s="238"/>
      <c r="I93" s="238"/>
      <c r="J93" s="238"/>
      <c r="K93" s="238"/>
      <c r="L93" s="238"/>
    </row>
    <row r="94" spans="1:12" s="1" customFormat="1" x14ac:dyDescent="0.2">
      <c r="A94" s="26"/>
      <c r="B94" s="26"/>
      <c r="C94" s="65">
        <v>1</v>
      </c>
      <c r="D94" s="35">
        <v>25</v>
      </c>
      <c r="E94" s="35" t="s">
        <v>1341</v>
      </c>
      <c r="F94" s="34">
        <f>IFERROR(_xlfn.XLOOKUP(E94,Index!$A:$A,Index!$B:$B),"")</f>
        <v>498.5</v>
      </c>
      <c r="G94" s="238"/>
      <c r="H94" s="238"/>
      <c r="I94" s="238"/>
      <c r="J94" s="238"/>
      <c r="K94" s="238"/>
      <c r="L94" s="238"/>
    </row>
    <row r="95" spans="1:12" s="1" customFormat="1" x14ac:dyDescent="0.2">
      <c r="A95" s="26"/>
      <c r="B95" s="26"/>
      <c r="C95" s="65">
        <v>1.25</v>
      </c>
      <c r="D95" s="35">
        <v>32</v>
      </c>
      <c r="E95" s="35" t="s">
        <v>1342</v>
      </c>
      <c r="F95" s="34">
        <f>IFERROR(_xlfn.XLOOKUP(E95,Index!$A:$A,Index!$B:$B),"")</f>
        <v>541</v>
      </c>
      <c r="G95" s="238"/>
      <c r="H95" s="238"/>
      <c r="I95" s="238"/>
      <c r="J95" s="238"/>
      <c r="K95" s="238"/>
      <c r="L95" s="238"/>
    </row>
    <row r="96" spans="1:12" s="1" customFormat="1" x14ac:dyDescent="0.2">
      <c r="A96" s="26"/>
      <c r="B96" s="26"/>
      <c r="C96" s="65">
        <v>1.5</v>
      </c>
      <c r="D96" s="35">
        <v>40</v>
      </c>
      <c r="E96" s="35" t="s">
        <v>1343</v>
      </c>
      <c r="F96" s="34">
        <f>IFERROR(_xlfn.XLOOKUP(E96,Index!$A:$A,Index!$B:$B),"")</f>
        <v>541</v>
      </c>
      <c r="G96" s="238"/>
      <c r="H96" s="238"/>
      <c r="I96" s="238"/>
      <c r="J96" s="238"/>
      <c r="K96" s="238"/>
      <c r="L96" s="238"/>
    </row>
    <row r="97" spans="1:12" s="1" customFormat="1" x14ac:dyDescent="0.2">
      <c r="A97" s="26"/>
      <c r="B97" s="26"/>
      <c r="C97" s="65">
        <v>2</v>
      </c>
      <c r="D97" s="35">
        <v>50</v>
      </c>
      <c r="E97" s="35" t="s">
        <v>1344</v>
      </c>
      <c r="F97" s="34">
        <f>IFERROR(_xlfn.XLOOKUP(E97,Index!$A:$A,Index!$B:$B),"")</f>
        <v>541</v>
      </c>
      <c r="G97" s="238"/>
      <c r="H97" s="238"/>
      <c r="I97" s="238"/>
      <c r="J97" s="238"/>
      <c r="K97" s="238"/>
      <c r="L97" s="238"/>
    </row>
    <row r="98" spans="1:12" s="1" customFormat="1" x14ac:dyDescent="0.2">
      <c r="A98" s="26"/>
      <c r="B98" s="26"/>
      <c r="C98" s="65">
        <v>2.5</v>
      </c>
      <c r="D98" s="35">
        <v>65</v>
      </c>
      <c r="E98" s="35" t="s">
        <v>1345</v>
      </c>
      <c r="F98" s="34">
        <f>IFERROR(_xlfn.XLOOKUP(E98,Index!$A:$A,Index!$B:$B),"")</f>
        <v>996.5</v>
      </c>
      <c r="G98" s="238"/>
      <c r="H98" s="238"/>
      <c r="I98" s="238"/>
      <c r="J98" s="238"/>
      <c r="K98" s="238"/>
      <c r="L98" s="238"/>
    </row>
    <row r="99" spans="1:12" s="1" customFormat="1" x14ac:dyDescent="0.2">
      <c r="A99" s="26"/>
      <c r="B99" s="26"/>
      <c r="C99" s="65">
        <v>3</v>
      </c>
      <c r="D99" s="35">
        <v>80</v>
      </c>
      <c r="E99" s="35" t="s">
        <v>1346</v>
      </c>
      <c r="F99" s="34">
        <f>IFERROR(_xlfn.XLOOKUP(E99,Index!$A:$A,Index!$B:$B),"")</f>
        <v>996.5</v>
      </c>
      <c r="G99" s="238"/>
      <c r="H99" s="238"/>
      <c r="I99" s="238"/>
      <c r="J99" s="238"/>
      <c r="K99" s="238"/>
      <c r="L99" s="238"/>
    </row>
    <row r="100" spans="1:12" s="1" customFormat="1" x14ac:dyDescent="0.2">
      <c r="A100" s="26"/>
      <c r="B100" s="60" t="s">
        <v>145</v>
      </c>
      <c r="C100" s="65">
        <v>0.5</v>
      </c>
      <c r="D100" s="35">
        <v>15</v>
      </c>
      <c r="E100" s="35" t="s">
        <v>1347</v>
      </c>
      <c r="F100" s="34">
        <f>IFERROR(_xlfn.XLOOKUP(E100,Index!$A:$A,Index!$B:$B),"")</f>
        <v>498.5</v>
      </c>
      <c r="G100" s="238"/>
      <c r="H100" s="238"/>
      <c r="I100" s="238"/>
      <c r="J100" s="238"/>
      <c r="K100" s="238"/>
      <c r="L100" s="238"/>
    </row>
    <row r="101" spans="1:12" s="1" customFormat="1" x14ac:dyDescent="0.2">
      <c r="A101" s="26"/>
      <c r="B101" s="26"/>
      <c r="C101" s="65">
        <v>0.75</v>
      </c>
      <c r="D101" s="35">
        <v>20</v>
      </c>
      <c r="E101" s="35" t="s">
        <v>1347</v>
      </c>
      <c r="F101" s="34">
        <f>IFERROR(_xlfn.XLOOKUP(E101,Index!$A:$A,Index!$B:$B),"")</f>
        <v>498.5</v>
      </c>
      <c r="G101" s="238"/>
      <c r="H101" s="238"/>
      <c r="I101" s="238"/>
      <c r="J101" s="238"/>
      <c r="K101" s="238"/>
      <c r="L101" s="238"/>
    </row>
    <row r="102" spans="1:12" s="1" customFormat="1" x14ac:dyDescent="0.2">
      <c r="A102" s="26"/>
      <c r="B102" s="26"/>
      <c r="C102" s="65">
        <v>1</v>
      </c>
      <c r="D102" s="35">
        <v>25</v>
      </c>
      <c r="E102" s="35" t="s">
        <v>1348</v>
      </c>
      <c r="F102" s="34">
        <f>IFERROR(_xlfn.XLOOKUP(E102,Index!$A:$A,Index!$B:$B),"")</f>
        <v>498.5</v>
      </c>
      <c r="G102" s="238"/>
      <c r="H102" s="238"/>
      <c r="I102" s="238"/>
      <c r="J102" s="238"/>
      <c r="K102" s="238"/>
      <c r="L102" s="238"/>
    </row>
    <row r="103" spans="1:12" s="1" customFormat="1" x14ac:dyDescent="0.2">
      <c r="A103" s="26"/>
      <c r="B103" s="26"/>
      <c r="C103" s="65">
        <v>1.25</v>
      </c>
      <c r="D103" s="35">
        <v>32</v>
      </c>
      <c r="E103" s="35" t="s">
        <v>1349</v>
      </c>
      <c r="F103" s="34">
        <f>IFERROR(_xlfn.XLOOKUP(E103,Index!$A:$A,Index!$B:$B),"")</f>
        <v>541</v>
      </c>
      <c r="G103" s="238"/>
      <c r="H103" s="238"/>
      <c r="I103" s="238"/>
      <c r="J103" s="238"/>
      <c r="K103" s="238"/>
      <c r="L103" s="238"/>
    </row>
    <row r="104" spans="1:12" s="1" customFormat="1" x14ac:dyDescent="0.2">
      <c r="A104" s="26"/>
      <c r="B104" s="26"/>
      <c r="C104" s="65">
        <v>1.5</v>
      </c>
      <c r="D104" s="35">
        <v>40</v>
      </c>
      <c r="E104" s="35" t="s">
        <v>1350</v>
      </c>
      <c r="F104" s="34">
        <f>IFERROR(_xlfn.XLOOKUP(E104,Index!$A:$A,Index!$B:$B),"")</f>
        <v>541</v>
      </c>
      <c r="G104" s="238"/>
      <c r="H104" s="238"/>
      <c r="I104" s="238"/>
      <c r="J104" s="238"/>
      <c r="K104" s="238"/>
      <c r="L104" s="238"/>
    </row>
    <row r="105" spans="1:12" s="1" customFormat="1" x14ac:dyDescent="0.2">
      <c r="A105" s="26"/>
      <c r="B105" s="26"/>
      <c r="C105" s="65">
        <v>2</v>
      </c>
      <c r="D105" s="35">
        <v>50</v>
      </c>
      <c r="E105" s="35" t="s">
        <v>1351</v>
      </c>
      <c r="F105" s="34">
        <f>IFERROR(_xlfn.XLOOKUP(E105,Index!$A:$A,Index!$B:$B),"")</f>
        <v>541</v>
      </c>
      <c r="G105" s="238"/>
      <c r="H105" s="238"/>
      <c r="I105" s="238"/>
      <c r="J105" s="238"/>
      <c r="K105" s="238"/>
      <c r="L105" s="238"/>
    </row>
    <row r="106" spans="1:12" s="1" customFormat="1" x14ac:dyDescent="0.2">
      <c r="A106" s="26"/>
      <c r="B106" s="26"/>
      <c r="C106" s="65">
        <v>2.5</v>
      </c>
      <c r="D106" s="35">
        <v>65</v>
      </c>
      <c r="E106" s="35" t="s">
        <v>1352</v>
      </c>
      <c r="F106" s="34">
        <f>IFERROR(_xlfn.XLOOKUP(E106,Index!$A:$A,Index!$B:$B),"")</f>
        <v>996.5</v>
      </c>
      <c r="G106" s="238"/>
      <c r="H106" s="238"/>
      <c r="I106" s="238"/>
      <c r="J106" s="238"/>
      <c r="K106" s="238"/>
      <c r="L106" s="238"/>
    </row>
    <row r="107" spans="1:12" s="1" customFormat="1" x14ac:dyDescent="0.2">
      <c r="A107" s="26"/>
      <c r="B107" s="26"/>
      <c r="C107" s="65">
        <v>3</v>
      </c>
      <c r="D107" s="35">
        <v>80</v>
      </c>
      <c r="E107" s="35" t="s">
        <v>1353</v>
      </c>
      <c r="F107" s="34">
        <f>IFERROR(_xlfn.XLOOKUP(E107,Index!$A:$A,Index!$B:$B),"")</f>
        <v>996.5</v>
      </c>
      <c r="G107" s="238"/>
      <c r="H107" s="238"/>
      <c r="I107" s="238"/>
      <c r="J107" s="238"/>
      <c r="K107" s="238"/>
      <c r="L107" s="238"/>
    </row>
    <row r="108" spans="1:12" s="1" customFormat="1" x14ac:dyDescent="0.2">
      <c r="A108" s="26"/>
      <c r="B108" s="60" t="s">
        <v>155</v>
      </c>
      <c r="C108" s="65">
        <v>0.5</v>
      </c>
      <c r="D108" s="35">
        <v>15</v>
      </c>
      <c r="E108" s="35" t="s">
        <v>1354</v>
      </c>
      <c r="F108" s="34">
        <f>IFERROR(_xlfn.XLOOKUP(E108,Index!$A:$A,Index!$B:$B),"")</f>
        <v>498.5</v>
      </c>
      <c r="G108" s="238"/>
      <c r="H108" s="238"/>
      <c r="I108" s="238"/>
      <c r="J108" s="238"/>
      <c r="K108" s="238"/>
      <c r="L108" s="238"/>
    </row>
    <row r="109" spans="1:12" s="1" customFormat="1" x14ac:dyDescent="0.2">
      <c r="A109" s="26"/>
      <c r="B109" s="26"/>
      <c r="C109" s="65">
        <v>0.75</v>
      </c>
      <c r="D109" s="35">
        <v>20</v>
      </c>
      <c r="E109" s="35" t="s">
        <v>1354</v>
      </c>
      <c r="F109" s="34">
        <f>IFERROR(_xlfn.XLOOKUP(E109,Index!$A:$A,Index!$B:$B),"")</f>
        <v>498.5</v>
      </c>
      <c r="G109" s="238"/>
      <c r="H109" s="238"/>
      <c r="I109" s="238"/>
      <c r="J109" s="238"/>
      <c r="K109" s="238"/>
      <c r="L109" s="238"/>
    </row>
    <row r="110" spans="1:12" s="1" customFormat="1" x14ac:dyDescent="0.2">
      <c r="A110" s="26"/>
      <c r="B110" s="26"/>
      <c r="C110" s="65">
        <v>1</v>
      </c>
      <c r="D110" s="35">
        <v>25</v>
      </c>
      <c r="E110" s="35" t="s">
        <v>1355</v>
      </c>
      <c r="F110" s="34">
        <f>IFERROR(_xlfn.XLOOKUP(E110,Index!$A:$A,Index!$B:$B),"")</f>
        <v>498.5</v>
      </c>
      <c r="G110" s="238"/>
      <c r="H110" s="238"/>
      <c r="I110" s="238"/>
      <c r="J110" s="238"/>
      <c r="K110" s="238"/>
      <c r="L110" s="238"/>
    </row>
    <row r="111" spans="1:12" s="1" customFormat="1" x14ac:dyDescent="0.2">
      <c r="A111" s="26"/>
      <c r="B111" s="26"/>
      <c r="C111" s="65">
        <v>1.25</v>
      </c>
      <c r="D111" s="35">
        <v>32</v>
      </c>
      <c r="E111" s="35" t="s">
        <v>1356</v>
      </c>
      <c r="F111" s="34">
        <f>IFERROR(_xlfn.XLOOKUP(E111,Index!$A:$A,Index!$B:$B),"")</f>
        <v>541</v>
      </c>
      <c r="G111" s="238"/>
      <c r="H111" s="238"/>
      <c r="I111" s="238"/>
      <c r="J111" s="238"/>
      <c r="K111" s="238"/>
      <c r="L111" s="238"/>
    </row>
    <row r="112" spans="1:12" s="1" customFormat="1" x14ac:dyDescent="0.2">
      <c r="A112" s="26"/>
      <c r="B112" s="26"/>
      <c r="C112" s="65">
        <v>1.5</v>
      </c>
      <c r="D112" s="35">
        <v>40</v>
      </c>
      <c r="E112" s="35" t="s">
        <v>1357</v>
      </c>
      <c r="F112" s="34">
        <f>IFERROR(_xlfn.XLOOKUP(E112,Index!$A:$A,Index!$B:$B),"")</f>
        <v>541</v>
      </c>
      <c r="G112" s="238"/>
      <c r="H112" s="238"/>
      <c r="I112" s="238"/>
      <c r="J112" s="238"/>
      <c r="K112" s="238"/>
      <c r="L112" s="238"/>
    </row>
    <row r="113" spans="1:16" s="1" customFormat="1" x14ac:dyDescent="0.2">
      <c r="A113" s="26"/>
      <c r="B113" s="26"/>
      <c r="C113" s="65">
        <v>2</v>
      </c>
      <c r="D113" s="35">
        <v>50</v>
      </c>
      <c r="E113" s="35" t="s">
        <v>1358</v>
      </c>
      <c r="F113" s="34">
        <f>IFERROR(_xlfn.XLOOKUP(E113,Index!$A:$A,Index!$B:$B),"")</f>
        <v>541</v>
      </c>
      <c r="G113" s="238"/>
      <c r="H113" s="238"/>
      <c r="I113" s="238"/>
      <c r="J113" s="238"/>
      <c r="K113" s="238"/>
      <c r="L113" s="238"/>
    </row>
    <row r="114" spans="1:16" s="1" customFormat="1" x14ac:dyDescent="0.2">
      <c r="A114" s="26"/>
      <c r="B114" s="26"/>
      <c r="C114" s="65">
        <v>2.5</v>
      </c>
      <c r="D114" s="35">
        <v>65</v>
      </c>
      <c r="E114" s="35" t="s">
        <v>1359</v>
      </c>
      <c r="F114" s="34">
        <f>IFERROR(_xlfn.XLOOKUP(E114,Index!$A:$A,Index!$B:$B),"")</f>
        <v>996.5</v>
      </c>
      <c r="G114" s="238"/>
      <c r="H114" s="238"/>
      <c r="I114" s="238"/>
      <c r="J114" s="238"/>
      <c r="K114" s="238"/>
      <c r="L114" s="238"/>
    </row>
    <row r="115" spans="1:16" s="1" customFormat="1" x14ac:dyDescent="0.2">
      <c r="A115" s="99"/>
      <c r="B115" s="121"/>
      <c r="C115" s="65">
        <v>3</v>
      </c>
      <c r="D115" s="35">
        <v>80</v>
      </c>
      <c r="E115" s="35" t="s">
        <v>1360</v>
      </c>
      <c r="F115" s="34">
        <f>IFERROR(_xlfn.XLOOKUP(E115,Index!$A:$A,Index!$B:$B),"")</f>
        <v>996.5</v>
      </c>
      <c r="G115" s="238"/>
      <c r="H115" s="238"/>
      <c r="I115" s="238"/>
      <c r="J115" s="238"/>
      <c r="K115" s="238"/>
      <c r="L115" s="238"/>
    </row>
    <row r="116" spans="1:16" x14ac:dyDescent="0.2">
      <c r="A116" s="26"/>
      <c r="B116" s="60" t="s">
        <v>1361</v>
      </c>
      <c r="C116" s="70">
        <v>0.5</v>
      </c>
      <c r="D116" s="38">
        <v>15</v>
      </c>
      <c r="E116" s="35" t="s">
        <v>1362</v>
      </c>
      <c r="F116" s="34">
        <f>IFERROR(_xlfn.XLOOKUP(E116,Index!$A:$A,Index!$B:$B),"")</f>
        <v>25.5</v>
      </c>
      <c r="L116" s="238"/>
    </row>
    <row r="117" spans="1:16" x14ac:dyDescent="0.2">
      <c r="A117" s="26"/>
      <c r="B117" s="26"/>
      <c r="C117" s="64">
        <v>0.75</v>
      </c>
      <c r="D117" s="116">
        <v>20</v>
      </c>
      <c r="E117" s="35" t="s">
        <v>1362</v>
      </c>
      <c r="F117" s="34">
        <f>IFERROR(_xlfn.XLOOKUP(E117,Index!$A:$A,Index!$B:$B),"")</f>
        <v>25.5</v>
      </c>
      <c r="L117" s="238"/>
    </row>
    <row r="118" spans="1:16" x14ac:dyDescent="0.2">
      <c r="A118" s="26"/>
      <c r="B118" s="26"/>
      <c r="C118" s="64">
        <v>1</v>
      </c>
      <c r="D118" s="116">
        <v>25</v>
      </c>
      <c r="E118" s="35" t="s">
        <v>1362</v>
      </c>
      <c r="F118" s="34">
        <f>IFERROR(_xlfn.XLOOKUP(E118,Index!$A:$A,Index!$B:$B),"")</f>
        <v>25.5</v>
      </c>
      <c r="L118" s="238"/>
    </row>
    <row r="119" spans="1:16" x14ac:dyDescent="0.2">
      <c r="A119" s="26"/>
      <c r="B119" s="26"/>
      <c r="C119" s="64">
        <v>1.25</v>
      </c>
      <c r="D119" s="116">
        <v>32</v>
      </c>
      <c r="E119" s="35" t="s">
        <v>1362</v>
      </c>
      <c r="F119" s="34">
        <f>IFERROR(_xlfn.XLOOKUP(E119,Index!$A:$A,Index!$B:$B),"")</f>
        <v>25.5</v>
      </c>
      <c r="L119" s="238"/>
    </row>
    <row r="120" spans="1:16" x14ac:dyDescent="0.2">
      <c r="A120" s="26"/>
      <c r="B120" s="26"/>
      <c r="C120" s="64">
        <v>1.5</v>
      </c>
      <c r="D120" s="116">
        <v>40</v>
      </c>
      <c r="E120" s="35" t="s">
        <v>1362</v>
      </c>
      <c r="F120" s="34">
        <f>IFERROR(_xlfn.XLOOKUP(E120,Index!$A:$A,Index!$B:$B),"")</f>
        <v>25.5</v>
      </c>
      <c r="L120" s="238"/>
    </row>
    <row r="121" spans="1:16" x14ac:dyDescent="0.2">
      <c r="A121" s="26"/>
      <c r="B121" s="26"/>
      <c r="C121" s="64">
        <v>2</v>
      </c>
      <c r="D121" s="116">
        <v>50</v>
      </c>
      <c r="E121" s="35" t="s">
        <v>1363</v>
      </c>
      <c r="F121" s="34">
        <f>IFERROR(_xlfn.XLOOKUP(E121,Index!$A:$A,Index!$B:$B),"")</f>
        <v>25.5</v>
      </c>
      <c r="L121" s="238"/>
    </row>
    <row r="122" spans="1:16" x14ac:dyDescent="0.2">
      <c r="A122" s="26"/>
      <c r="B122" s="26"/>
      <c r="C122" s="64">
        <v>2.5</v>
      </c>
      <c r="D122" s="116">
        <v>65</v>
      </c>
      <c r="E122" s="35" t="s">
        <v>1363</v>
      </c>
      <c r="F122" s="34">
        <f>IFERROR(_xlfn.XLOOKUP(E122,Index!$A:$A,Index!$B:$B),"")</f>
        <v>25.5</v>
      </c>
      <c r="L122" s="238"/>
    </row>
    <row r="123" spans="1:16" x14ac:dyDescent="0.2">
      <c r="A123" s="27"/>
      <c r="B123" s="27"/>
      <c r="C123" s="64">
        <v>3</v>
      </c>
      <c r="D123" s="116">
        <v>80</v>
      </c>
      <c r="E123" s="35" t="s">
        <v>1363</v>
      </c>
      <c r="F123" s="34">
        <f>IFERROR(_xlfn.XLOOKUP(E123,Index!$A:$A,Index!$B:$B),"")</f>
        <v>25.5</v>
      </c>
      <c r="L123" s="238"/>
    </row>
    <row r="124" spans="1:16" s="1" customFormat="1" x14ac:dyDescent="0.2">
      <c r="A124" s="12"/>
      <c r="B124" s="12"/>
      <c r="C124" s="109"/>
      <c r="D124" s="4"/>
      <c r="E124" s="4"/>
      <c r="F124" s="19"/>
      <c r="G124" s="4"/>
      <c r="H124" s="19"/>
      <c r="I124" s="19"/>
      <c r="J124" s="20"/>
      <c r="K124" s="238"/>
      <c r="L124" s="238"/>
      <c r="M124" s="238"/>
      <c r="N124" s="238"/>
      <c r="O124" s="238"/>
      <c r="P124" s="238"/>
    </row>
    <row r="125" spans="1:16" ht="15.75" x14ac:dyDescent="0.2">
      <c r="A125" s="71" t="s">
        <v>1364</v>
      </c>
      <c r="B125" s="71" t="s">
        <v>214</v>
      </c>
      <c r="D125" s="3"/>
      <c r="E125" s="8"/>
      <c r="F125" s="9"/>
      <c r="G125" s="10"/>
      <c r="H125" s="19"/>
      <c r="I125" s="19"/>
      <c r="J125" s="20"/>
      <c r="L125" s="238"/>
    </row>
    <row r="126" spans="1:16" ht="15.75" x14ac:dyDescent="0.2">
      <c r="A126" s="48" t="s">
        <v>1365</v>
      </c>
      <c r="B126" s="11"/>
      <c r="C126" s="4"/>
      <c r="D126" s="4"/>
      <c r="E126" s="5"/>
      <c r="F126" s="9"/>
      <c r="G126" s="4"/>
      <c r="H126" s="19"/>
      <c r="I126" s="19"/>
      <c r="J126" s="20"/>
      <c r="L126" s="238"/>
    </row>
    <row r="127" spans="1:16" ht="24" x14ac:dyDescent="0.2">
      <c r="A127" s="25" t="s">
        <v>35</v>
      </c>
      <c r="B127" s="28" t="s">
        <v>36</v>
      </c>
      <c r="C127" s="333" t="s">
        <v>37</v>
      </c>
      <c r="D127" s="334"/>
      <c r="E127" s="335" t="s">
        <v>38</v>
      </c>
      <c r="F127" s="336"/>
      <c r="G127" s="335" t="s">
        <v>39</v>
      </c>
      <c r="H127" s="336"/>
      <c r="I127" s="29" t="s">
        <v>1271</v>
      </c>
      <c r="J127" s="24" t="s">
        <v>41</v>
      </c>
      <c r="L127" s="238"/>
    </row>
    <row r="128" spans="1:16" x14ac:dyDescent="0.2">
      <c r="A128" s="32"/>
      <c r="B128" s="32"/>
      <c r="C128" s="33" t="s">
        <v>42</v>
      </c>
      <c r="D128" s="33" t="s">
        <v>43</v>
      </c>
      <c r="E128" s="33" t="s">
        <v>44</v>
      </c>
      <c r="F128" s="33" t="s">
        <v>45</v>
      </c>
      <c r="G128" s="33" t="s">
        <v>46</v>
      </c>
      <c r="H128" s="39" t="s">
        <v>47</v>
      </c>
      <c r="I128" s="33"/>
      <c r="J128" s="41"/>
      <c r="L128" s="238"/>
    </row>
    <row r="129" spans="1:12" x14ac:dyDescent="0.2">
      <c r="A129" s="26" t="s">
        <v>1366</v>
      </c>
      <c r="B129" s="26" t="s">
        <v>1367</v>
      </c>
      <c r="C129" s="30" t="s">
        <v>50</v>
      </c>
      <c r="D129" s="35" t="s">
        <v>176</v>
      </c>
      <c r="E129" s="82" t="s">
        <v>1150</v>
      </c>
      <c r="F129" s="37">
        <v>25</v>
      </c>
      <c r="G129" s="35">
        <v>9</v>
      </c>
      <c r="H129" s="38">
        <v>4.0999999999999996</v>
      </c>
      <c r="I129" s="38" t="s">
        <v>1368</v>
      </c>
      <c r="J129" s="34">
        <f>IFERROR(_xlfn.XLOOKUP(I129,Index!$A:$A,Index!$B:$B),"")</f>
        <v>601.5</v>
      </c>
      <c r="L129" s="238"/>
    </row>
    <row r="130" spans="1:12" x14ac:dyDescent="0.2">
      <c r="A130" s="26"/>
      <c r="B130" s="26"/>
      <c r="C130" s="30"/>
      <c r="D130" s="35" t="s">
        <v>53</v>
      </c>
      <c r="E130" s="82" t="s">
        <v>1150</v>
      </c>
      <c r="F130" s="37">
        <v>25</v>
      </c>
      <c r="G130" s="35">
        <v>9</v>
      </c>
      <c r="H130" s="38">
        <v>4.0999999999999996</v>
      </c>
      <c r="I130" s="38" t="s">
        <v>1369</v>
      </c>
      <c r="J130" s="34">
        <f>IFERROR(_xlfn.XLOOKUP(I130,Index!$A:$A,Index!$B:$B),"")</f>
        <v>632</v>
      </c>
      <c r="L130" s="238"/>
    </row>
    <row r="131" spans="1:12" x14ac:dyDescent="0.2">
      <c r="A131" s="26"/>
      <c r="B131" s="26"/>
      <c r="C131" s="30"/>
      <c r="D131" s="35" t="s">
        <v>55</v>
      </c>
      <c r="E131" s="82" t="s">
        <v>1150</v>
      </c>
      <c r="F131" s="37">
        <v>25</v>
      </c>
      <c r="G131" s="35">
        <v>9</v>
      </c>
      <c r="H131" s="38">
        <v>4.0999999999999996</v>
      </c>
      <c r="I131" s="38" t="s">
        <v>1370</v>
      </c>
      <c r="J131" s="34">
        <f>IFERROR(_xlfn.XLOOKUP(I131,Index!$A:$A,Index!$B:$B),"")</f>
        <v>632</v>
      </c>
      <c r="L131" s="238"/>
    </row>
    <row r="132" spans="1:12" x14ac:dyDescent="0.2">
      <c r="A132" s="26"/>
      <c r="B132" s="26"/>
      <c r="C132" s="30"/>
      <c r="D132" s="35" t="s">
        <v>176</v>
      </c>
      <c r="E132" s="82" t="s">
        <v>223</v>
      </c>
      <c r="F132" s="37">
        <v>32</v>
      </c>
      <c r="G132" s="35">
        <v>15</v>
      </c>
      <c r="H132" s="38">
        <v>6.8</v>
      </c>
      <c r="I132" s="38" t="s">
        <v>1371</v>
      </c>
      <c r="J132" s="34">
        <f>IFERROR(_xlfn.XLOOKUP(I132,Index!$A:$A,Index!$B:$B),"")</f>
        <v>750.5</v>
      </c>
      <c r="L132" s="238"/>
    </row>
    <row r="133" spans="1:12" x14ac:dyDescent="0.2">
      <c r="A133" s="26"/>
      <c r="B133" s="26"/>
      <c r="C133" s="30"/>
      <c r="D133" s="35" t="s">
        <v>53</v>
      </c>
      <c r="E133" s="82" t="s">
        <v>223</v>
      </c>
      <c r="F133" s="37">
        <v>32</v>
      </c>
      <c r="G133" s="35">
        <v>15</v>
      </c>
      <c r="H133" s="38">
        <v>6.8</v>
      </c>
      <c r="I133" s="38" t="s">
        <v>5639</v>
      </c>
      <c r="J133" s="34">
        <f>IFERROR(_xlfn.XLOOKUP(I133,Index!$A:$A,Index!$B:$B),"")</f>
        <v>787.5</v>
      </c>
      <c r="L133" s="238"/>
    </row>
    <row r="134" spans="1:12" x14ac:dyDescent="0.2">
      <c r="A134" s="26"/>
      <c r="B134" s="26"/>
      <c r="C134" s="30"/>
      <c r="D134" s="35" t="s">
        <v>55</v>
      </c>
      <c r="E134" s="82" t="s">
        <v>223</v>
      </c>
      <c r="F134" s="37">
        <v>32</v>
      </c>
      <c r="G134" s="35">
        <v>15</v>
      </c>
      <c r="H134" s="38">
        <v>6.8</v>
      </c>
      <c r="I134" s="38" t="s">
        <v>5640</v>
      </c>
      <c r="J134" s="34">
        <f>IFERROR(_xlfn.XLOOKUP(I134,Index!$A:$A,Index!$B:$B),"")</f>
        <v>787.5</v>
      </c>
      <c r="L134" s="238"/>
    </row>
    <row r="135" spans="1:12" x14ac:dyDescent="0.2">
      <c r="A135" s="26"/>
      <c r="B135" s="26"/>
      <c r="C135" s="30"/>
      <c r="D135" s="35" t="s">
        <v>176</v>
      </c>
      <c r="E135" s="82" t="s">
        <v>225</v>
      </c>
      <c r="F135" s="37">
        <v>40</v>
      </c>
      <c r="G135" s="35">
        <v>15</v>
      </c>
      <c r="H135" s="38">
        <v>6.8</v>
      </c>
      <c r="I135" s="38" t="s">
        <v>1372</v>
      </c>
      <c r="J135" s="34">
        <f>IFERROR(_xlfn.XLOOKUP(I135,Index!$A:$A,Index!$B:$B),"")</f>
        <v>899</v>
      </c>
      <c r="L135" s="238"/>
    </row>
    <row r="136" spans="1:12" x14ac:dyDescent="0.2">
      <c r="A136" s="26"/>
      <c r="B136" s="26"/>
      <c r="C136" s="30"/>
      <c r="D136" s="35" t="s">
        <v>53</v>
      </c>
      <c r="E136" s="82" t="s">
        <v>225</v>
      </c>
      <c r="F136" s="37">
        <v>40</v>
      </c>
      <c r="G136" s="35">
        <v>15</v>
      </c>
      <c r="H136" s="38">
        <v>6.8</v>
      </c>
      <c r="I136" s="38" t="s">
        <v>1373</v>
      </c>
      <c r="J136" s="34">
        <f>IFERROR(_xlfn.XLOOKUP(I136,Index!$A:$A,Index!$B:$B),"")</f>
        <v>944</v>
      </c>
      <c r="L136" s="238"/>
    </row>
    <row r="137" spans="1:12" x14ac:dyDescent="0.2">
      <c r="A137" s="26"/>
      <c r="B137" s="26"/>
      <c r="C137" s="30"/>
      <c r="D137" s="35" t="s">
        <v>55</v>
      </c>
      <c r="E137" s="82" t="s">
        <v>225</v>
      </c>
      <c r="F137" s="37">
        <v>40</v>
      </c>
      <c r="G137" s="35">
        <v>15</v>
      </c>
      <c r="H137" s="38">
        <v>6.8</v>
      </c>
      <c r="I137" s="38" t="s">
        <v>1374</v>
      </c>
      <c r="J137" s="34">
        <f>IFERROR(_xlfn.XLOOKUP(I137,Index!$A:$A,Index!$B:$B),"")</f>
        <v>944</v>
      </c>
      <c r="L137" s="238"/>
    </row>
    <row r="138" spans="1:12" x14ac:dyDescent="0.2">
      <c r="A138" s="26"/>
      <c r="B138" s="26"/>
      <c r="C138" s="30"/>
      <c r="D138" s="35" t="s">
        <v>176</v>
      </c>
      <c r="E138" s="82" t="s">
        <v>1159</v>
      </c>
      <c r="F138" s="37">
        <v>50</v>
      </c>
      <c r="G138" s="35">
        <v>26</v>
      </c>
      <c r="H138" s="38">
        <v>11.8</v>
      </c>
      <c r="I138" s="38" t="s">
        <v>1375</v>
      </c>
      <c r="J138" s="34">
        <f>IFERROR(_xlfn.XLOOKUP(I138,Index!$A:$A,Index!$B:$B),"")</f>
        <v>1076</v>
      </c>
      <c r="L138" s="238"/>
    </row>
    <row r="139" spans="1:12" x14ac:dyDescent="0.2">
      <c r="A139" s="26"/>
      <c r="B139" s="26"/>
      <c r="C139" s="30"/>
      <c r="D139" s="35" t="s">
        <v>53</v>
      </c>
      <c r="E139" s="82" t="s">
        <v>1159</v>
      </c>
      <c r="F139" s="37">
        <v>50</v>
      </c>
      <c r="G139" s="35">
        <v>26</v>
      </c>
      <c r="H139" s="38">
        <v>11.8</v>
      </c>
      <c r="I139" s="38" t="s">
        <v>1376</v>
      </c>
      <c r="J139" s="34">
        <f>IFERROR(_xlfn.XLOOKUP(I139,Index!$A:$A,Index!$B:$B),"")</f>
        <v>1129</v>
      </c>
      <c r="L139" s="238"/>
    </row>
    <row r="140" spans="1:12" x14ac:dyDescent="0.2">
      <c r="A140" s="26"/>
      <c r="B140" s="26"/>
      <c r="C140" s="30"/>
      <c r="D140" s="35" t="s">
        <v>55</v>
      </c>
      <c r="E140" s="82" t="s">
        <v>1159</v>
      </c>
      <c r="F140" s="37">
        <v>50</v>
      </c>
      <c r="G140" s="35">
        <v>26</v>
      </c>
      <c r="H140" s="38">
        <v>11.8</v>
      </c>
      <c r="I140" s="38" t="s">
        <v>1377</v>
      </c>
      <c r="J140" s="34">
        <f>IFERROR(_xlfn.XLOOKUP(I140,Index!$A:$A,Index!$B:$B),"")</f>
        <v>1129</v>
      </c>
      <c r="L140" s="238"/>
    </row>
    <row r="141" spans="1:12" x14ac:dyDescent="0.2">
      <c r="A141" s="26"/>
      <c r="B141" s="26"/>
      <c r="C141" s="30"/>
      <c r="D141" s="35" t="s">
        <v>176</v>
      </c>
      <c r="E141" s="82" t="s">
        <v>231</v>
      </c>
      <c r="F141" s="37">
        <v>65</v>
      </c>
      <c r="G141" s="35">
        <v>38</v>
      </c>
      <c r="H141" s="38">
        <v>17</v>
      </c>
      <c r="I141" s="38" t="s">
        <v>1378</v>
      </c>
      <c r="J141" s="34">
        <f>IFERROR(_xlfn.XLOOKUP(I141,Index!$A:$A,Index!$B:$B),"")</f>
        <v>1453</v>
      </c>
      <c r="L141" s="238"/>
    </row>
    <row r="142" spans="1:12" x14ac:dyDescent="0.2">
      <c r="A142" s="26"/>
      <c r="B142" s="26"/>
      <c r="C142" s="30"/>
      <c r="D142" s="35" t="s">
        <v>53</v>
      </c>
      <c r="E142" s="82" t="s">
        <v>231</v>
      </c>
      <c r="F142" s="37">
        <v>65</v>
      </c>
      <c r="G142" s="35">
        <v>38</v>
      </c>
      <c r="H142" s="38">
        <v>17</v>
      </c>
      <c r="I142" s="38" t="s">
        <v>1379</v>
      </c>
      <c r="J142" s="34">
        <f>IFERROR(_xlfn.XLOOKUP(I142,Index!$A:$A,Index!$B:$B),"")</f>
        <v>1525</v>
      </c>
      <c r="L142" s="238"/>
    </row>
    <row r="143" spans="1:12" x14ac:dyDescent="0.2">
      <c r="A143" s="26"/>
      <c r="B143" s="26"/>
      <c r="C143" s="30"/>
      <c r="D143" s="35" t="s">
        <v>55</v>
      </c>
      <c r="E143" s="82" t="s">
        <v>231</v>
      </c>
      <c r="F143" s="37">
        <v>65</v>
      </c>
      <c r="G143" s="35">
        <v>38</v>
      </c>
      <c r="H143" s="38">
        <v>17</v>
      </c>
      <c r="I143" s="38" t="s">
        <v>1380</v>
      </c>
      <c r="J143" s="34">
        <f>IFERROR(_xlfn.XLOOKUP(I143,Index!$A:$A,Index!$B:$B),"")</f>
        <v>1525</v>
      </c>
      <c r="L143" s="238"/>
    </row>
    <row r="144" spans="1:12" x14ac:dyDescent="0.2">
      <c r="A144" s="26"/>
      <c r="B144" s="26"/>
      <c r="C144" s="30"/>
      <c r="D144" s="35" t="s">
        <v>176</v>
      </c>
      <c r="E144" s="82" t="s">
        <v>1166</v>
      </c>
      <c r="F144" s="37">
        <v>80</v>
      </c>
      <c r="G144" s="35">
        <v>62</v>
      </c>
      <c r="H144" s="38">
        <v>28</v>
      </c>
      <c r="I144" s="38" t="s">
        <v>1381</v>
      </c>
      <c r="J144" s="34">
        <f>IFERROR(_xlfn.XLOOKUP(I144,Index!$A:$A,Index!$B:$B),"")</f>
        <v>1521</v>
      </c>
      <c r="L144" s="238"/>
    </row>
    <row r="145" spans="1:12" x14ac:dyDescent="0.2">
      <c r="A145" s="26"/>
      <c r="B145" s="26"/>
      <c r="C145" s="30"/>
      <c r="D145" s="35" t="s">
        <v>53</v>
      </c>
      <c r="E145" s="82" t="s">
        <v>1166</v>
      </c>
      <c r="F145" s="37">
        <v>80</v>
      </c>
      <c r="G145" s="35">
        <v>62</v>
      </c>
      <c r="H145" s="38">
        <v>28</v>
      </c>
      <c r="I145" s="38" t="s">
        <v>1382</v>
      </c>
      <c r="J145" s="34">
        <f>IFERROR(_xlfn.XLOOKUP(I145,Index!$A:$A,Index!$B:$B),"")</f>
        <v>1596</v>
      </c>
      <c r="L145" s="238"/>
    </row>
    <row r="146" spans="1:12" x14ac:dyDescent="0.2">
      <c r="A146" s="26"/>
      <c r="B146" s="26"/>
      <c r="C146" s="30"/>
      <c r="D146" s="35" t="s">
        <v>55</v>
      </c>
      <c r="E146" s="82" t="s">
        <v>1166</v>
      </c>
      <c r="F146" s="37">
        <v>80</v>
      </c>
      <c r="G146" s="35">
        <v>62</v>
      </c>
      <c r="H146" s="38">
        <v>28</v>
      </c>
      <c r="I146" s="38" t="s">
        <v>1383</v>
      </c>
      <c r="J146" s="34">
        <f>IFERROR(_xlfn.XLOOKUP(I146,Index!$A:$A,Index!$B:$B),"")</f>
        <v>1596</v>
      </c>
      <c r="L146" s="238"/>
    </row>
    <row r="147" spans="1:12" x14ac:dyDescent="0.2">
      <c r="A147" s="26"/>
      <c r="B147" s="26"/>
      <c r="C147" s="30"/>
      <c r="D147" s="35" t="s">
        <v>176</v>
      </c>
      <c r="E147" s="82" t="s">
        <v>1170</v>
      </c>
      <c r="F147" s="37">
        <v>100</v>
      </c>
      <c r="G147" s="35">
        <v>118</v>
      </c>
      <c r="H147" s="38">
        <v>54</v>
      </c>
      <c r="I147" s="38" t="s">
        <v>1384</v>
      </c>
      <c r="J147" s="34">
        <f>IFERROR(_xlfn.XLOOKUP(I147,Index!$A:$A,Index!$B:$B),"")</f>
        <v>2322</v>
      </c>
      <c r="L147" s="238"/>
    </row>
    <row r="148" spans="1:12" x14ac:dyDescent="0.2">
      <c r="A148" s="26"/>
      <c r="B148" s="26"/>
      <c r="C148" s="30"/>
      <c r="D148" s="35" t="s">
        <v>53</v>
      </c>
      <c r="E148" s="82" t="s">
        <v>1170</v>
      </c>
      <c r="F148" s="37">
        <v>100</v>
      </c>
      <c r="G148" s="35">
        <v>118</v>
      </c>
      <c r="H148" s="38">
        <v>54</v>
      </c>
      <c r="I148" s="38" t="s">
        <v>1385</v>
      </c>
      <c r="J148" s="34">
        <f>IFERROR(_xlfn.XLOOKUP(I148,Index!$A:$A,Index!$B:$B),"")</f>
        <v>2438</v>
      </c>
      <c r="L148" s="238"/>
    </row>
    <row r="149" spans="1:12" x14ac:dyDescent="0.2">
      <c r="A149" s="26"/>
      <c r="B149" s="26"/>
      <c r="C149" s="30"/>
      <c r="D149" s="35" t="s">
        <v>55</v>
      </c>
      <c r="E149" s="82" t="s">
        <v>1170</v>
      </c>
      <c r="F149" s="37">
        <v>100</v>
      </c>
      <c r="G149" s="35">
        <v>118</v>
      </c>
      <c r="H149" s="38">
        <v>54</v>
      </c>
      <c r="I149" s="38" t="s">
        <v>1386</v>
      </c>
      <c r="J149" s="34">
        <f>IFERROR(_xlfn.XLOOKUP(I149,Index!$A:$A,Index!$B:$B),"")</f>
        <v>2438</v>
      </c>
      <c r="L149" s="238"/>
    </row>
    <row r="150" spans="1:12" x14ac:dyDescent="0.2">
      <c r="A150" s="26"/>
      <c r="B150" s="26"/>
      <c r="C150" s="30"/>
      <c r="D150" s="35" t="s">
        <v>241</v>
      </c>
      <c r="E150" s="82" t="s">
        <v>1174</v>
      </c>
      <c r="F150" s="37">
        <v>125</v>
      </c>
      <c r="G150" s="35">
        <v>170</v>
      </c>
      <c r="H150" s="38">
        <v>77</v>
      </c>
      <c r="I150" s="38" t="s">
        <v>1387</v>
      </c>
      <c r="J150" s="34">
        <f>IFERROR(_xlfn.XLOOKUP(I150,Index!$A:$A,Index!$B:$B),"")</f>
        <v>3525</v>
      </c>
      <c r="L150" s="238"/>
    </row>
    <row r="151" spans="1:12" x14ac:dyDescent="0.2">
      <c r="A151" s="26"/>
      <c r="B151" s="26"/>
      <c r="C151" s="30"/>
      <c r="D151" s="35" t="s">
        <v>241</v>
      </c>
      <c r="E151" s="82" t="s">
        <v>1178</v>
      </c>
      <c r="F151" s="37">
        <v>150</v>
      </c>
      <c r="G151" s="35">
        <v>266</v>
      </c>
      <c r="H151" s="38">
        <v>121</v>
      </c>
      <c r="I151" s="38" t="s">
        <v>1388</v>
      </c>
      <c r="J151" s="34">
        <f>IFERROR(_xlfn.XLOOKUP(I151,Index!$A:$A,Index!$B:$B),"")</f>
        <v>4499</v>
      </c>
      <c r="L151" s="238"/>
    </row>
    <row r="152" spans="1:12" x14ac:dyDescent="0.2">
      <c r="A152" s="26"/>
      <c r="B152" s="26"/>
      <c r="C152" s="30"/>
      <c r="D152" s="35" t="s">
        <v>53</v>
      </c>
      <c r="E152" s="82" t="s">
        <v>1178</v>
      </c>
      <c r="F152" s="37">
        <v>150</v>
      </c>
      <c r="G152" s="35">
        <v>266</v>
      </c>
      <c r="H152" s="38">
        <v>121</v>
      </c>
      <c r="I152" s="38" t="s">
        <v>1389</v>
      </c>
      <c r="J152" s="34">
        <f>IFERROR(_xlfn.XLOOKUP(I152,Index!$A:$A,Index!$B:$B),"")</f>
        <v>4724</v>
      </c>
      <c r="L152" s="238"/>
    </row>
    <row r="153" spans="1:12" x14ac:dyDescent="0.2">
      <c r="A153" s="26"/>
      <c r="B153" s="26"/>
      <c r="C153" s="30"/>
      <c r="D153" s="35" t="s">
        <v>55</v>
      </c>
      <c r="E153" s="82" t="s">
        <v>1178</v>
      </c>
      <c r="F153" s="37">
        <v>150</v>
      </c>
      <c r="G153" s="35">
        <v>266</v>
      </c>
      <c r="H153" s="38">
        <v>121</v>
      </c>
      <c r="I153" s="38" t="s">
        <v>1390</v>
      </c>
      <c r="J153" s="34">
        <f>IFERROR(_xlfn.XLOOKUP(I153,Index!$A:$A,Index!$B:$B),"")</f>
        <v>4724</v>
      </c>
      <c r="L153" s="238"/>
    </row>
    <row r="154" spans="1:12" x14ac:dyDescent="0.2">
      <c r="A154" s="26"/>
      <c r="B154" s="26"/>
      <c r="C154" s="30"/>
      <c r="D154" s="35" t="s">
        <v>241</v>
      </c>
      <c r="E154" s="82" t="s">
        <v>1182</v>
      </c>
      <c r="F154" s="37">
        <v>200</v>
      </c>
      <c r="G154" s="35">
        <v>518</v>
      </c>
      <c r="H154" s="38">
        <v>235</v>
      </c>
      <c r="I154" s="38" t="s">
        <v>1391</v>
      </c>
      <c r="J154" s="34">
        <f>IFERROR(_xlfn.XLOOKUP(I154,Index!$A:$A,Index!$B:$B),"")</f>
        <v>8135</v>
      </c>
      <c r="K154" s="279"/>
      <c r="L154" s="238"/>
    </row>
    <row r="155" spans="1:12" x14ac:dyDescent="0.2">
      <c r="A155" s="26"/>
      <c r="B155" s="26"/>
      <c r="C155" s="30"/>
      <c r="D155" s="35" t="s">
        <v>53</v>
      </c>
      <c r="E155" s="82" t="s">
        <v>1182</v>
      </c>
      <c r="F155" s="37">
        <v>200</v>
      </c>
      <c r="G155" s="35">
        <v>518</v>
      </c>
      <c r="H155" s="38">
        <v>235</v>
      </c>
      <c r="I155" s="38" t="s">
        <v>5641</v>
      </c>
      <c r="J155" s="34">
        <f>IFERROR(_xlfn.XLOOKUP(I155,Index!$A:$A,Index!$B:$B),"")</f>
        <v>8542</v>
      </c>
      <c r="K155" s="279"/>
      <c r="L155" s="238"/>
    </row>
    <row r="156" spans="1:12" x14ac:dyDescent="0.2">
      <c r="A156" s="26"/>
      <c r="B156" s="26"/>
      <c r="C156" s="30"/>
      <c r="D156" s="35" t="s">
        <v>55</v>
      </c>
      <c r="E156" s="82" t="s">
        <v>1182</v>
      </c>
      <c r="F156" s="37">
        <v>200</v>
      </c>
      <c r="G156" s="35">
        <v>518</v>
      </c>
      <c r="H156" s="38">
        <v>235</v>
      </c>
      <c r="I156" s="38" t="s">
        <v>1392</v>
      </c>
      <c r="J156" s="34">
        <f>IFERROR(_xlfn.XLOOKUP(I156,Index!$A:$A,Index!$B:$B),"")</f>
        <v>18761</v>
      </c>
      <c r="L156" s="238"/>
    </row>
    <row r="157" spans="1:12" x14ac:dyDescent="0.2">
      <c r="A157" s="26"/>
      <c r="B157" s="26"/>
      <c r="C157" s="30"/>
      <c r="D157" s="35" t="s">
        <v>241</v>
      </c>
      <c r="E157" s="82" t="s">
        <v>1186</v>
      </c>
      <c r="F157" s="37">
        <v>250</v>
      </c>
      <c r="G157" s="35">
        <v>1110</v>
      </c>
      <c r="H157" s="38">
        <v>503</v>
      </c>
      <c r="I157" s="38" t="s">
        <v>1393</v>
      </c>
      <c r="J157" s="34">
        <f>IFERROR(_xlfn.XLOOKUP(I157,Index!$A:$A,Index!$B:$B),"")</f>
        <v>17866</v>
      </c>
      <c r="L157" s="238"/>
    </row>
    <row r="158" spans="1:12" x14ac:dyDescent="0.2">
      <c r="A158" s="26"/>
      <c r="B158" s="26"/>
      <c r="C158" s="30"/>
      <c r="D158" s="35" t="s">
        <v>53</v>
      </c>
      <c r="E158" s="82" t="s">
        <v>1186</v>
      </c>
      <c r="F158" s="37">
        <v>250</v>
      </c>
      <c r="G158" s="35">
        <v>1110</v>
      </c>
      <c r="H158" s="38">
        <v>503</v>
      </c>
      <c r="I158" s="38" t="s">
        <v>5642</v>
      </c>
      <c r="J158" s="34">
        <f>IFERROR(_xlfn.XLOOKUP(I158,Index!$A:$A,Index!$B:$B),"")</f>
        <v>18761</v>
      </c>
      <c r="L158" s="238"/>
    </row>
    <row r="159" spans="1:12" x14ac:dyDescent="0.2">
      <c r="A159" s="27"/>
      <c r="B159" s="27"/>
      <c r="C159" s="31"/>
      <c r="D159" s="35" t="s">
        <v>55</v>
      </c>
      <c r="E159" s="82" t="s">
        <v>1186</v>
      </c>
      <c r="F159" s="37">
        <v>250</v>
      </c>
      <c r="G159" s="35">
        <v>1110</v>
      </c>
      <c r="H159" s="38">
        <v>503</v>
      </c>
      <c r="I159" s="38" t="s">
        <v>1392</v>
      </c>
      <c r="J159" s="34">
        <f>IFERROR(_xlfn.XLOOKUP(I159,Index!$A:$A,Index!$B:$B),"")</f>
        <v>18761</v>
      </c>
      <c r="L159" s="238"/>
    </row>
    <row r="160" spans="1:12" x14ac:dyDescent="0.2">
      <c r="A160" s="214" t="s">
        <v>1394</v>
      </c>
      <c r="C160" s="238"/>
      <c r="L160" s="238"/>
    </row>
    <row r="161" spans="1:12" x14ac:dyDescent="0.2">
      <c r="C161" s="238"/>
      <c r="L161" s="238"/>
    </row>
    <row r="162" spans="1:12" x14ac:dyDescent="0.2">
      <c r="C162" s="238"/>
      <c r="L162" s="238"/>
    </row>
    <row r="163" spans="1:12" ht="15.75" x14ac:dyDescent="0.2">
      <c r="A163" s="71" t="s">
        <v>1395</v>
      </c>
      <c r="B163" s="71" t="s">
        <v>468</v>
      </c>
      <c r="C163" s="72"/>
      <c r="D163" s="73"/>
      <c r="E163" s="74"/>
      <c r="F163" s="114"/>
      <c r="G163" s="115"/>
      <c r="H163" s="77"/>
      <c r="I163" s="77"/>
      <c r="J163" s="78"/>
      <c r="L163" s="238"/>
    </row>
    <row r="164" spans="1:12" ht="15.75" x14ac:dyDescent="0.2">
      <c r="A164" s="48" t="s">
        <v>1396</v>
      </c>
      <c r="B164" s="11"/>
      <c r="C164" s="4"/>
      <c r="D164" s="4"/>
      <c r="E164" s="5"/>
      <c r="F164" s="110"/>
      <c r="G164" s="4"/>
      <c r="H164" s="19"/>
      <c r="I164" s="19"/>
      <c r="J164" s="20"/>
      <c r="L164" s="238"/>
    </row>
    <row r="165" spans="1:12" ht="24" x14ac:dyDescent="0.2">
      <c r="A165" s="25" t="s">
        <v>35</v>
      </c>
      <c r="B165" s="28" t="s">
        <v>36</v>
      </c>
      <c r="C165" s="333" t="s">
        <v>37</v>
      </c>
      <c r="D165" s="333"/>
      <c r="E165" s="335" t="s">
        <v>38</v>
      </c>
      <c r="F165" s="335"/>
      <c r="G165" s="335" t="s">
        <v>39</v>
      </c>
      <c r="H165" s="335"/>
      <c r="I165" s="42" t="s">
        <v>40</v>
      </c>
      <c r="J165" s="43" t="s">
        <v>41</v>
      </c>
      <c r="L165" s="238"/>
    </row>
    <row r="166" spans="1:12" x14ac:dyDescent="0.2">
      <c r="A166" s="32"/>
      <c r="B166" s="32"/>
      <c r="C166" s="33" t="s">
        <v>42</v>
      </c>
      <c r="D166" s="33" t="s">
        <v>43</v>
      </c>
      <c r="E166" s="33" t="s">
        <v>44</v>
      </c>
      <c r="F166" s="33" t="s">
        <v>45</v>
      </c>
      <c r="G166" s="33" t="s">
        <v>46</v>
      </c>
      <c r="H166" s="33" t="s">
        <v>47</v>
      </c>
      <c r="I166" s="33"/>
      <c r="J166" s="44"/>
      <c r="L166" s="238"/>
    </row>
    <row r="167" spans="1:12" x14ac:dyDescent="0.2">
      <c r="A167" s="26" t="s">
        <v>1397</v>
      </c>
      <c r="B167" s="26" t="s">
        <v>1367</v>
      </c>
      <c r="C167" s="30" t="s">
        <v>50</v>
      </c>
      <c r="D167" s="35" t="s">
        <v>508</v>
      </c>
      <c r="E167" s="70">
        <v>1</v>
      </c>
      <c r="F167" s="38">
        <v>25</v>
      </c>
      <c r="G167" s="38">
        <v>9</v>
      </c>
      <c r="H167" s="38">
        <v>4.0999999999999996</v>
      </c>
      <c r="I167" s="38" t="s">
        <v>1398</v>
      </c>
      <c r="J167" s="34">
        <f>IFERROR(_xlfn.XLOOKUP(I167,Index!$A:$A,Index!$B:$B),"")</f>
        <v>574.5</v>
      </c>
      <c r="L167" s="238"/>
    </row>
    <row r="168" spans="1:12" x14ac:dyDescent="0.2">
      <c r="A168" s="26"/>
      <c r="B168" s="26"/>
      <c r="C168" s="30"/>
      <c r="D168" s="35" t="s">
        <v>508</v>
      </c>
      <c r="E168" s="64">
        <v>1.25</v>
      </c>
      <c r="F168" s="116">
        <v>32</v>
      </c>
      <c r="G168" s="35">
        <v>15</v>
      </c>
      <c r="H168" s="40">
        <v>6.8</v>
      </c>
      <c r="I168" s="38" t="s">
        <v>1399</v>
      </c>
      <c r="J168" s="34">
        <f>IFERROR(_xlfn.XLOOKUP(I168,Index!$A:$A,Index!$B:$B),"")</f>
        <v>716.5</v>
      </c>
      <c r="L168" s="238"/>
    </row>
    <row r="169" spans="1:12" x14ac:dyDescent="0.2">
      <c r="A169" s="26"/>
      <c r="B169" s="26"/>
      <c r="C169" s="30"/>
      <c r="D169" s="35" t="s">
        <v>508</v>
      </c>
      <c r="E169" s="64">
        <v>1.5</v>
      </c>
      <c r="F169" s="116">
        <v>40</v>
      </c>
      <c r="G169" s="35">
        <v>15</v>
      </c>
      <c r="H169" s="40">
        <v>6.8</v>
      </c>
      <c r="I169" s="38" t="s">
        <v>1400</v>
      </c>
      <c r="J169" s="34">
        <f>IFERROR(_xlfn.XLOOKUP(I169,Index!$A:$A,Index!$B:$B),"")</f>
        <v>788.5</v>
      </c>
      <c r="L169" s="238"/>
    </row>
    <row r="170" spans="1:12" x14ac:dyDescent="0.2">
      <c r="A170" s="26"/>
      <c r="B170" s="26"/>
      <c r="C170" s="30"/>
      <c r="D170" s="35" t="s">
        <v>508</v>
      </c>
      <c r="E170" s="64">
        <v>2</v>
      </c>
      <c r="F170" s="116">
        <v>50</v>
      </c>
      <c r="G170" s="35">
        <v>26</v>
      </c>
      <c r="H170" s="40">
        <v>11.8</v>
      </c>
      <c r="I170" s="38" t="s">
        <v>1401</v>
      </c>
      <c r="J170" s="34">
        <f>IFERROR(_xlfn.XLOOKUP(I170,Index!$A:$A,Index!$B:$B),"")</f>
        <v>1026</v>
      </c>
      <c r="L170" s="238"/>
    </row>
    <row r="171" spans="1:12" x14ac:dyDescent="0.2">
      <c r="A171" s="26"/>
      <c r="B171" s="26"/>
      <c r="C171" s="30"/>
      <c r="D171" s="35" t="s">
        <v>508</v>
      </c>
      <c r="E171" s="64">
        <v>2.5</v>
      </c>
      <c r="F171" s="116">
        <v>65</v>
      </c>
      <c r="G171" s="35">
        <v>38</v>
      </c>
      <c r="H171" s="40">
        <v>17</v>
      </c>
      <c r="I171" s="38" t="s">
        <v>1402</v>
      </c>
      <c r="J171" s="34">
        <f>IFERROR(_xlfn.XLOOKUP(I171,Index!$A:$A,Index!$B:$B),"")</f>
        <v>1385</v>
      </c>
      <c r="L171" s="238"/>
    </row>
    <row r="172" spans="1:12" x14ac:dyDescent="0.2">
      <c r="A172" s="26"/>
      <c r="B172" s="26"/>
      <c r="C172" s="30"/>
      <c r="D172" s="35" t="s">
        <v>508</v>
      </c>
      <c r="E172" s="64">
        <v>3</v>
      </c>
      <c r="F172" s="116">
        <v>80</v>
      </c>
      <c r="G172" s="35">
        <v>62</v>
      </c>
      <c r="H172" s="40">
        <v>28</v>
      </c>
      <c r="I172" s="38" t="s">
        <v>1403</v>
      </c>
      <c r="J172" s="34">
        <f>IFERROR(_xlfn.XLOOKUP(I172,Index!$A:$A,Index!$B:$B),"")</f>
        <v>1453</v>
      </c>
      <c r="L172" s="238"/>
    </row>
    <row r="173" spans="1:12" x14ac:dyDescent="0.2">
      <c r="A173" s="26"/>
      <c r="B173" s="26"/>
      <c r="C173" s="30"/>
      <c r="D173" s="35" t="s">
        <v>508</v>
      </c>
      <c r="E173" s="64">
        <v>4</v>
      </c>
      <c r="F173" s="116">
        <v>100</v>
      </c>
      <c r="G173" s="35">
        <v>118</v>
      </c>
      <c r="H173" s="40">
        <v>54</v>
      </c>
      <c r="I173" s="38" t="s">
        <v>1404</v>
      </c>
      <c r="J173" s="34">
        <f>IFERROR(_xlfn.XLOOKUP(I173,Index!$A:$A,Index!$B:$B),"")</f>
        <v>2217</v>
      </c>
      <c r="L173" s="238"/>
    </row>
    <row r="174" spans="1:12" x14ac:dyDescent="0.2">
      <c r="A174" s="26"/>
      <c r="B174" s="26"/>
      <c r="C174" s="30"/>
      <c r="D174" s="35" t="s">
        <v>648</v>
      </c>
      <c r="E174" s="64">
        <v>5</v>
      </c>
      <c r="F174" s="116">
        <v>125</v>
      </c>
      <c r="G174" s="35">
        <v>170</v>
      </c>
      <c r="H174" s="40">
        <v>77</v>
      </c>
      <c r="I174" s="38" t="s">
        <v>1405</v>
      </c>
      <c r="J174" s="34">
        <f>IFERROR(_xlfn.XLOOKUP(I174,Index!$A:$A,Index!$B:$B),"")</f>
        <v>3364</v>
      </c>
      <c r="L174" s="238"/>
    </row>
    <row r="175" spans="1:12" x14ac:dyDescent="0.2">
      <c r="A175" s="26"/>
      <c r="B175" s="26"/>
      <c r="C175" s="30"/>
      <c r="D175" s="35" t="s">
        <v>648</v>
      </c>
      <c r="E175" s="64">
        <v>6</v>
      </c>
      <c r="F175" s="116">
        <v>150</v>
      </c>
      <c r="G175" s="35">
        <v>266</v>
      </c>
      <c r="H175" s="40">
        <v>121</v>
      </c>
      <c r="I175" s="38" t="s">
        <v>1406</v>
      </c>
      <c r="J175" s="34">
        <f>IFERROR(_xlfn.XLOOKUP(I175,Index!$A:$A,Index!$B:$B),"")</f>
        <v>4293</v>
      </c>
      <c r="L175" s="238"/>
    </row>
    <row r="176" spans="1:12" x14ac:dyDescent="0.2">
      <c r="A176" s="26"/>
      <c r="B176" s="26"/>
      <c r="C176" s="30"/>
      <c r="D176" s="35" t="s">
        <v>648</v>
      </c>
      <c r="E176" s="64">
        <v>8</v>
      </c>
      <c r="F176" s="116">
        <v>200</v>
      </c>
      <c r="G176" s="35">
        <v>518</v>
      </c>
      <c r="H176" s="40">
        <v>235</v>
      </c>
      <c r="I176" s="38" t="s">
        <v>1407</v>
      </c>
      <c r="J176" s="34">
        <f>IFERROR(_xlfn.XLOOKUP(I176,Index!$A:$A,Index!$B:$B),"")</f>
        <v>7762</v>
      </c>
      <c r="L176" s="238"/>
    </row>
    <row r="177" spans="1:12" x14ac:dyDescent="0.2">
      <c r="A177" s="27"/>
      <c r="B177" s="27"/>
      <c r="C177" s="31"/>
      <c r="D177" s="35" t="s">
        <v>648</v>
      </c>
      <c r="E177" s="64">
        <v>10</v>
      </c>
      <c r="F177" s="116">
        <v>250</v>
      </c>
      <c r="G177" s="35">
        <v>1110</v>
      </c>
      <c r="H177" s="40">
        <v>503</v>
      </c>
      <c r="I177" s="38" t="s">
        <v>1408</v>
      </c>
      <c r="J177" s="34">
        <f>IFERROR(_xlfn.XLOOKUP(I177,Index!$A:$A,Index!$B:$B),"")</f>
        <v>17049</v>
      </c>
      <c r="L177" s="238"/>
    </row>
    <row r="178" spans="1:12" x14ac:dyDescent="0.2">
      <c r="C178" s="238"/>
      <c r="L178" s="238"/>
    </row>
    <row r="179" spans="1:12" x14ac:dyDescent="0.2">
      <c r="C179" s="238"/>
      <c r="L179" s="238"/>
    </row>
    <row r="180" spans="1:12" ht="15.75" x14ac:dyDescent="0.2">
      <c r="A180" s="71" t="s">
        <v>1409</v>
      </c>
      <c r="B180" s="71"/>
      <c r="C180" s="18"/>
      <c r="D180" s="49"/>
      <c r="E180" s="50"/>
      <c r="F180" s="51"/>
      <c r="L180" s="238"/>
    </row>
    <row r="181" spans="1:12" ht="15.75" x14ac:dyDescent="0.2">
      <c r="A181" s="48" t="s">
        <v>102</v>
      </c>
      <c r="B181" s="11"/>
      <c r="C181" s="58"/>
      <c r="D181" s="58"/>
      <c r="E181" s="59"/>
      <c r="F181" s="51"/>
      <c r="L181" s="238"/>
    </row>
    <row r="182" spans="1:12" x14ac:dyDescent="0.2">
      <c r="A182" s="25" t="s">
        <v>35</v>
      </c>
      <c r="B182" s="28" t="s">
        <v>103</v>
      </c>
      <c r="C182" s="335" t="s">
        <v>38</v>
      </c>
      <c r="D182" s="336"/>
      <c r="E182" s="42" t="s">
        <v>40</v>
      </c>
      <c r="F182" s="253" t="s">
        <v>41</v>
      </c>
      <c r="L182" s="238"/>
    </row>
    <row r="183" spans="1:12" x14ac:dyDescent="0.2">
      <c r="A183" s="32"/>
      <c r="B183" s="32"/>
      <c r="C183" s="33" t="s">
        <v>44</v>
      </c>
      <c r="D183" s="33" t="s">
        <v>45</v>
      </c>
      <c r="E183" s="33"/>
      <c r="F183" s="254"/>
      <c r="L183" s="238"/>
    </row>
    <row r="184" spans="1:12" x14ac:dyDescent="0.2">
      <c r="A184" s="26" t="s">
        <v>1410</v>
      </c>
      <c r="B184" s="60" t="s">
        <v>1308</v>
      </c>
      <c r="C184" s="94" t="s">
        <v>1150</v>
      </c>
      <c r="D184" s="35">
        <v>25</v>
      </c>
      <c r="E184" s="35" t="s">
        <v>1317</v>
      </c>
      <c r="F184" s="34">
        <f>IFERROR(_xlfn.XLOOKUP(E184,Index!$A:$A,Index!$B:$B),"")</f>
        <v>6</v>
      </c>
      <c r="L184" s="238"/>
    </row>
    <row r="185" spans="1:12" x14ac:dyDescent="0.2">
      <c r="A185" s="26"/>
      <c r="B185" s="26"/>
      <c r="C185" s="94" t="s">
        <v>223</v>
      </c>
      <c r="D185" s="35">
        <v>32</v>
      </c>
      <c r="E185" s="35" t="s">
        <v>1311</v>
      </c>
      <c r="F185" s="34">
        <f>IFERROR(_xlfn.XLOOKUP(E185,Index!$A:$A,Index!$B:$B),"")</f>
        <v>8.5</v>
      </c>
      <c r="L185" s="238"/>
    </row>
    <row r="186" spans="1:12" x14ac:dyDescent="0.2">
      <c r="A186" s="26"/>
      <c r="B186" s="26"/>
      <c r="C186" s="94" t="s">
        <v>225</v>
      </c>
      <c r="D186" s="35">
        <v>40</v>
      </c>
      <c r="E186" s="35" t="s">
        <v>1311</v>
      </c>
      <c r="F186" s="34">
        <f>IFERROR(_xlfn.XLOOKUP(E186,Index!$A:$A,Index!$B:$B),"")</f>
        <v>8.5</v>
      </c>
      <c r="L186" s="238"/>
    </row>
    <row r="187" spans="1:12" x14ac:dyDescent="0.2">
      <c r="A187" s="26"/>
      <c r="B187" s="26"/>
      <c r="C187" s="94" t="s">
        <v>1159</v>
      </c>
      <c r="D187" s="35">
        <v>50</v>
      </c>
      <c r="E187" s="35" t="s">
        <v>1312</v>
      </c>
      <c r="F187" s="34">
        <f>IFERROR(_xlfn.XLOOKUP(E187,Index!$A:$A,Index!$B:$B),"")</f>
        <v>9</v>
      </c>
      <c r="L187" s="238"/>
    </row>
    <row r="188" spans="1:12" x14ac:dyDescent="0.2">
      <c r="A188" s="26"/>
      <c r="B188" s="26"/>
      <c r="C188" s="94" t="s">
        <v>231</v>
      </c>
      <c r="D188" s="35">
        <v>65</v>
      </c>
      <c r="E188" s="35" t="s">
        <v>1313</v>
      </c>
      <c r="F188" s="34">
        <f>IFERROR(_xlfn.XLOOKUP(E188,Index!$A:$A,Index!$B:$B),"")</f>
        <v>12.5</v>
      </c>
      <c r="L188" s="238"/>
    </row>
    <row r="189" spans="1:12" x14ac:dyDescent="0.2">
      <c r="A189" s="26"/>
      <c r="B189" s="26"/>
      <c r="C189" s="94" t="s">
        <v>1166</v>
      </c>
      <c r="D189" s="35">
        <v>80</v>
      </c>
      <c r="E189" s="35" t="s">
        <v>1314</v>
      </c>
      <c r="F189" s="34">
        <f>IFERROR(_xlfn.XLOOKUP(E189,Index!$A:$A,Index!$B:$B),"")</f>
        <v>12.5</v>
      </c>
      <c r="L189" s="238"/>
    </row>
    <row r="190" spans="1:12" x14ac:dyDescent="0.2">
      <c r="A190" s="26"/>
      <c r="B190" s="26"/>
      <c r="C190" s="94" t="s">
        <v>1170</v>
      </c>
      <c r="D190" s="35">
        <v>100</v>
      </c>
      <c r="E190" s="35" t="s">
        <v>1411</v>
      </c>
      <c r="F190" s="34">
        <f>IFERROR(_xlfn.XLOOKUP(E190,Index!$A:$A,Index!$B:$B),"")</f>
        <v>15</v>
      </c>
      <c r="L190" s="238"/>
    </row>
    <row r="191" spans="1:12" x14ac:dyDescent="0.2">
      <c r="A191" s="26"/>
      <c r="B191" s="26"/>
      <c r="C191" s="94" t="s">
        <v>1174</v>
      </c>
      <c r="D191" s="35">
        <v>125</v>
      </c>
      <c r="E191" s="35" t="s">
        <v>1412</v>
      </c>
      <c r="F191" s="34">
        <f>IFERROR(_xlfn.XLOOKUP(E191,Index!$A:$A,Index!$B:$B),"")</f>
        <v>15</v>
      </c>
      <c r="L191" s="238"/>
    </row>
    <row r="192" spans="1:12" x14ac:dyDescent="0.2">
      <c r="A192" s="26"/>
      <c r="B192" s="26"/>
      <c r="C192" s="94" t="s">
        <v>1178</v>
      </c>
      <c r="D192" s="35">
        <v>150</v>
      </c>
      <c r="E192" s="35" t="s">
        <v>1413</v>
      </c>
      <c r="F192" s="34">
        <f>IFERROR(_xlfn.XLOOKUP(E192,Index!$A:$A,Index!$B:$B),"")</f>
        <v>18.75</v>
      </c>
      <c r="L192" s="238"/>
    </row>
    <row r="193" spans="1:12" x14ac:dyDescent="0.2">
      <c r="A193" s="26"/>
      <c r="B193" s="26"/>
      <c r="C193" s="94" t="s">
        <v>1182</v>
      </c>
      <c r="D193" s="35">
        <v>200</v>
      </c>
      <c r="E193" s="35" t="s">
        <v>1414</v>
      </c>
      <c r="F193" s="34">
        <f>IFERROR(_xlfn.XLOOKUP(E193,Index!$A:$A,Index!$B:$B),"")</f>
        <v>18.75</v>
      </c>
      <c r="L193" s="238"/>
    </row>
    <row r="194" spans="1:12" x14ac:dyDescent="0.2">
      <c r="A194" s="26"/>
      <c r="B194" s="26"/>
      <c r="C194" s="94" t="s">
        <v>1186</v>
      </c>
      <c r="D194" s="35">
        <v>250</v>
      </c>
      <c r="E194" s="35" t="s">
        <v>1415</v>
      </c>
      <c r="F194" s="34">
        <f>IFERROR(_xlfn.XLOOKUP(E194,Index!$A:$A,Index!$B:$B),"")</f>
        <v>18.75</v>
      </c>
      <c r="L194" s="238"/>
    </row>
    <row r="195" spans="1:12" x14ac:dyDescent="0.2">
      <c r="A195" s="26"/>
      <c r="B195" s="60" t="s">
        <v>1315</v>
      </c>
      <c r="C195" s="94" t="s">
        <v>1150</v>
      </c>
      <c r="D195" s="35">
        <v>25</v>
      </c>
      <c r="E195" s="35" t="s">
        <v>1310</v>
      </c>
      <c r="F195" s="34">
        <f>IFERROR(_xlfn.XLOOKUP(E195,Index!$A:$A,Index!$B:$B),"")</f>
        <v>6</v>
      </c>
      <c r="L195" s="238"/>
    </row>
    <row r="196" spans="1:12" x14ac:dyDescent="0.2">
      <c r="A196" s="26"/>
      <c r="B196" s="26"/>
      <c r="C196" s="94" t="s">
        <v>223</v>
      </c>
      <c r="D196" s="35">
        <v>32</v>
      </c>
      <c r="E196" s="35" t="s">
        <v>1311</v>
      </c>
      <c r="F196" s="34">
        <f>IFERROR(_xlfn.XLOOKUP(E196,Index!$A:$A,Index!$B:$B),"")</f>
        <v>8.5</v>
      </c>
      <c r="L196" s="238"/>
    </row>
    <row r="197" spans="1:12" x14ac:dyDescent="0.2">
      <c r="A197" s="26"/>
      <c r="B197" s="26"/>
      <c r="C197" s="94" t="s">
        <v>225</v>
      </c>
      <c r="D197" s="35">
        <v>40</v>
      </c>
      <c r="E197" s="35" t="s">
        <v>1318</v>
      </c>
      <c r="F197" s="34">
        <f>IFERROR(_xlfn.XLOOKUP(E197,Index!$A:$A,Index!$B:$B),"")</f>
        <v>8.5</v>
      </c>
      <c r="L197" s="238"/>
    </row>
    <row r="198" spans="1:12" x14ac:dyDescent="0.2">
      <c r="A198" s="26"/>
      <c r="B198" s="26"/>
      <c r="C198" s="94" t="s">
        <v>1159</v>
      </c>
      <c r="D198" s="35">
        <v>50</v>
      </c>
      <c r="E198" s="35" t="s">
        <v>1311</v>
      </c>
      <c r="F198" s="34">
        <f>IFERROR(_xlfn.XLOOKUP(E198,Index!$A:$A,Index!$B:$B),"")</f>
        <v>8.5</v>
      </c>
      <c r="L198" s="238"/>
    </row>
    <row r="199" spans="1:12" x14ac:dyDescent="0.2">
      <c r="A199" s="26"/>
      <c r="B199" s="26"/>
      <c r="C199" s="94" t="s">
        <v>231</v>
      </c>
      <c r="D199" s="35">
        <v>65</v>
      </c>
      <c r="E199" s="35" t="s">
        <v>1319</v>
      </c>
      <c r="F199" s="34">
        <f>IFERROR(_xlfn.XLOOKUP(E199,Index!$A:$A,Index!$B:$B),"")</f>
        <v>12.5</v>
      </c>
      <c r="L199" s="238"/>
    </row>
    <row r="200" spans="1:12" x14ac:dyDescent="0.2">
      <c r="A200" s="26"/>
      <c r="B200" s="26"/>
      <c r="C200" s="94" t="s">
        <v>1166</v>
      </c>
      <c r="D200" s="35">
        <v>80</v>
      </c>
      <c r="E200" s="35" t="s">
        <v>1320</v>
      </c>
      <c r="F200" s="34">
        <f>IFERROR(_xlfn.XLOOKUP(E200,Index!$A:$A,Index!$B:$B),"")</f>
        <v>12.5</v>
      </c>
      <c r="L200" s="238"/>
    </row>
    <row r="201" spans="1:12" x14ac:dyDescent="0.2">
      <c r="A201" s="26"/>
      <c r="B201" s="26"/>
      <c r="C201" s="94" t="s">
        <v>1170</v>
      </c>
      <c r="D201" s="35">
        <v>100</v>
      </c>
      <c r="E201" s="35" t="s">
        <v>1416</v>
      </c>
      <c r="F201" s="34">
        <f>IFERROR(_xlfn.XLOOKUP(E201,Index!$A:$A,Index!$B:$B),"")</f>
        <v>15</v>
      </c>
      <c r="L201" s="238"/>
    </row>
    <row r="202" spans="1:12" x14ac:dyDescent="0.2">
      <c r="A202" s="26"/>
      <c r="B202" s="26"/>
      <c r="C202" s="94" t="s">
        <v>1174</v>
      </c>
      <c r="D202" s="35">
        <v>125</v>
      </c>
      <c r="E202" s="35" t="s">
        <v>1314</v>
      </c>
      <c r="F202" s="34">
        <f>IFERROR(_xlfn.XLOOKUP(E202,Index!$A:$A,Index!$B:$B),"")</f>
        <v>12.5</v>
      </c>
      <c r="L202" s="238"/>
    </row>
    <row r="203" spans="1:12" x14ac:dyDescent="0.2">
      <c r="A203" s="26"/>
      <c r="B203" s="26"/>
      <c r="C203" s="94" t="s">
        <v>1178</v>
      </c>
      <c r="D203" s="35">
        <v>150</v>
      </c>
      <c r="E203" s="35" t="s">
        <v>1417</v>
      </c>
      <c r="F203" s="34">
        <f>IFERROR(_xlfn.XLOOKUP(E203,Index!$A:$A,Index!$B:$B),"")</f>
        <v>18.75</v>
      </c>
      <c r="L203" s="238"/>
    </row>
    <row r="204" spans="1:12" x14ac:dyDescent="0.2">
      <c r="A204" s="26"/>
      <c r="B204" s="26"/>
      <c r="C204" s="94" t="s">
        <v>1182</v>
      </c>
      <c r="D204" s="35">
        <v>200</v>
      </c>
      <c r="E204" s="35" t="s">
        <v>1418</v>
      </c>
      <c r="F204" s="34">
        <f>IFERROR(_xlfn.XLOOKUP(E204,Index!$A:$A,Index!$B:$B),"")</f>
        <v>18.75</v>
      </c>
      <c r="L204" s="238"/>
    </row>
    <row r="205" spans="1:12" x14ac:dyDescent="0.2">
      <c r="A205" s="26"/>
      <c r="B205" s="26"/>
      <c r="C205" s="94" t="s">
        <v>1186</v>
      </c>
      <c r="D205" s="35">
        <v>250</v>
      </c>
      <c r="E205" s="35" t="s">
        <v>1419</v>
      </c>
      <c r="F205" s="34">
        <f>IFERROR(_xlfn.XLOOKUP(E205,Index!$A:$A,Index!$B:$B),"")</f>
        <v>26.75</v>
      </c>
      <c r="L205" s="238"/>
    </row>
    <row r="206" spans="1:12" x14ac:dyDescent="0.2">
      <c r="A206" s="26"/>
      <c r="B206" s="215" t="s">
        <v>1420</v>
      </c>
      <c r="C206" s="94" t="s">
        <v>1186</v>
      </c>
      <c r="D206" s="35">
        <v>300</v>
      </c>
      <c r="E206" s="35" t="s">
        <v>1421</v>
      </c>
      <c r="F206" s="34">
        <f>IFERROR(_xlfn.XLOOKUP(E206,Index!$A:$A,Index!$B:$B),"")</f>
        <v>26.75</v>
      </c>
      <c r="L206" s="238"/>
    </row>
    <row r="207" spans="1:12" x14ac:dyDescent="0.2">
      <c r="A207" s="26"/>
      <c r="B207" s="60" t="s">
        <v>1422</v>
      </c>
      <c r="C207" s="94" t="s">
        <v>1150</v>
      </c>
      <c r="D207" s="35">
        <v>25</v>
      </c>
      <c r="E207" s="35" t="s">
        <v>1322</v>
      </c>
      <c r="F207" s="34">
        <f>IFERROR(_xlfn.XLOOKUP(E207,Index!$A:$A,Index!$B:$B),"")</f>
        <v>416</v>
      </c>
      <c r="L207" s="238"/>
    </row>
    <row r="208" spans="1:12" x14ac:dyDescent="0.2">
      <c r="A208" s="26"/>
      <c r="B208" s="26"/>
      <c r="C208" s="94" t="s">
        <v>223</v>
      </c>
      <c r="D208" s="35">
        <v>32</v>
      </c>
      <c r="E208" s="35" t="s">
        <v>1323</v>
      </c>
      <c r="F208" s="34">
        <f>IFERROR(_xlfn.XLOOKUP(E208,Index!$A:$A,Index!$B:$B),"")</f>
        <v>457.5</v>
      </c>
      <c r="L208" s="238"/>
    </row>
    <row r="209" spans="1:12" x14ac:dyDescent="0.2">
      <c r="A209" s="26"/>
      <c r="B209" s="26"/>
      <c r="C209" s="94" t="s">
        <v>225</v>
      </c>
      <c r="D209" s="35">
        <v>40</v>
      </c>
      <c r="E209" s="35" t="s">
        <v>1323</v>
      </c>
      <c r="F209" s="34">
        <f>IFERROR(_xlfn.XLOOKUP(E209,Index!$A:$A,Index!$B:$B),"")</f>
        <v>457.5</v>
      </c>
      <c r="L209" s="238"/>
    </row>
    <row r="210" spans="1:12" x14ac:dyDescent="0.2">
      <c r="A210" s="26"/>
      <c r="B210" s="26"/>
      <c r="C210" s="94" t="s">
        <v>1159</v>
      </c>
      <c r="D210" s="35">
        <v>50</v>
      </c>
      <c r="E210" s="35" t="s">
        <v>1324</v>
      </c>
      <c r="F210" s="34">
        <f>IFERROR(_xlfn.XLOOKUP(E210,Index!$A:$A,Index!$B:$B),"")</f>
        <v>457.5</v>
      </c>
      <c r="L210" s="238"/>
    </row>
    <row r="211" spans="1:12" x14ac:dyDescent="0.2">
      <c r="A211" s="26"/>
      <c r="B211" s="26"/>
      <c r="C211" s="94" t="s">
        <v>231</v>
      </c>
      <c r="D211" s="35">
        <v>65</v>
      </c>
      <c r="E211" s="35" t="s">
        <v>1325</v>
      </c>
      <c r="F211" s="34">
        <f>IFERROR(_xlfn.XLOOKUP(E211,Index!$A:$A,Index!$B:$B),"")</f>
        <v>582</v>
      </c>
      <c r="L211" s="238"/>
    </row>
    <row r="212" spans="1:12" x14ac:dyDescent="0.2">
      <c r="A212" s="26"/>
      <c r="B212" s="26"/>
      <c r="C212" s="94" t="s">
        <v>1166</v>
      </c>
      <c r="D212" s="35">
        <v>80</v>
      </c>
      <c r="E212" s="35" t="s">
        <v>1326</v>
      </c>
      <c r="F212" s="34">
        <f>IFERROR(_xlfn.XLOOKUP(E212,Index!$A:$A,Index!$B:$B),"")</f>
        <v>582</v>
      </c>
      <c r="L212" s="238"/>
    </row>
    <row r="213" spans="1:12" x14ac:dyDescent="0.2">
      <c r="A213" s="26"/>
      <c r="B213" s="26"/>
      <c r="C213" s="94" t="s">
        <v>1170</v>
      </c>
      <c r="D213" s="35">
        <v>100</v>
      </c>
      <c r="E213" s="35" t="s">
        <v>1423</v>
      </c>
      <c r="F213" s="34">
        <f>IFERROR(_xlfn.XLOOKUP(E213,Index!$A:$A,Index!$B:$B),"")</f>
        <v>747.5</v>
      </c>
      <c r="L213" s="238"/>
    </row>
    <row r="214" spans="1:12" x14ac:dyDescent="0.2">
      <c r="A214" s="26"/>
      <c r="B214" s="60" t="s">
        <v>1424</v>
      </c>
      <c r="C214" s="94" t="s">
        <v>1174</v>
      </c>
      <c r="D214" s="35">
        <v>125</v>
      </c>
      <c r="E214" s="35" t="s">
        <v>1425</v>
      </c>
      <c r="F214" s="34">
        <f>IFERROR(_xlfn.XLOOKUP(E214,Index!$A:$A,Index!$B:$B),"")</f>
        <v>1662</v>
      </c>
      <c r="L214" s="238"/>
    </row>
    <row r="215" spans="1:12" x14ac:dyDescent="0.2">
      <c r="A215" s="26"/>
      <c r="B215" s="26"/>
      <c r="C215" s="94" t="s">
        <v>1178</v>
      </c>
      <c r="D215" s="35">
        <v>150</v>
      </c>
      <c r="E215" s="35" t="s">
        <v>1426</v>
      </c>
      <c r="F215" s="34">
        <f>IFERROR(_xlfn.XLOOKUP(E215,Index!$A:$A,Index!$B:$B),"")</f>
        <v>1953</v>
      </c>
      <c r="L215" s="238"/>
    </row>
    <row r="216" spans="1:12" x14ac:dyDescent="0.2">
      <c r="A216" s="26"/>
      <c r="B216" s="26"/>
      <c r="C216" s="94" t="s">
        <v>1182</v>
      </c>
      <c r="D216" s="35">
        <v>200</v>
      </c>
      <c r="E216" s="35" t="s">
        <v>1427</v>
      </c>
      <c r="F216" s="34">
        <f>IFERROR(_xlfn.XLOOKUP(E216,Index!$A:$A,Index!$B:$B),"")</f>
        <v>2325</v>
      </c>
      <c r="L216" s="238"/>
    </row>
    <row r="217" spans="1:12" x14ac:dyDescent="0.2">
      <c r="A217" s="26"/>
      <c r="B217" s="26"/>
      <c r="C217" s="94" t="s">
        <v>1186</v>
      </c>
      <c r="D217" s="35">
        <v>250</v>
      </c>
      <c r="E217" s="35" t="s">
        <v>1428</v>
      </c>
      <c r="F217" s="34">
        <f>IFERROR(_xlfn.XLOOKUP(E217,Index!$A:$A,Index!$B:$B),"")</f>
        <v>2658</v>
      </c>
      <c r="L217" s="238"/>
    </row>
    <row r="218" spans="1:12" x14ac:dyDescent="0.2">
      <c r="A218" s="26"/>
      <c r="B218" s="60" t="s">
        <v>1429</v>
      </c>
      <c r="C218" s="94" t="s">
        <v>1150</v>
      </c>
      <c r="D218" s="35">
        <v>25</v>
      </c>
      <c r="E218" s="35" t="s">
        <v>1328</v>
      </c>
      <c r="F218" s="34">
        <f>IFERROR(_xlfn.XLOOKUP(E218,Index!$A:$A,Index!$B:$B),"")</f>
        <v>498.5</v>
      </c>
      <c r="L218" s="238"/>
    </row>
    <row r="219" spans="1:12" x14ac:dyDescent="0.2">
      <c r="A219" s="26"/>
      <c r="B219" s="26"/>
      <c r="C219" s="94" t="s">
        <v>223</v>
      </c>
      <c r="D219" s="35">
        <v>32</v>
      </c>
      <c r="E219" s="35" t="s">
        <v>1329</v>
      </c>
      <c r="F219" s="34">
        <f>IFERROR(_xlfn.XLOOKUP(E219,Index!$A:$A,Index!$B:$B),"")</f>
        <v>541</v>
      </c>
      <c r="L219" s="238"/>
    </row>
    <row r="220" spans="1:12" x14ac:dyDescent="0.2">
      <c r="A220" s="26"/>
      <c r="B220" s="26"/>
      <c r="C220" s="94" t="s">
        <v>225</v>
      </c>
      <c r="D220" s="35">
        <v>40</v>
      </c>
      <c r="E220" s="35" t="s">
        <v>1330</v>
      </c>
      <c r="F220" s="34">
        <f>IFERROR(_xlfn.XLOOKUP(E220,Index!$A:$A,Index!$B:$B),"")</f>
        <v>541</v>
      </c>
      <c r="L220" s="238"/>
    </row>
    <row r="221" spans="1:12" x14ac:dyDescent="0.2">
      <c r="A221" s="26"/>
      <c r="B221" s="26"/>
      <c r="C221" s="94" t="s">
        <v>1159</v>
      </c>
      <c r="D221" s="35">
        <v>50</v>
      </c>
      <c r="E221" s="35" t="s">
        <v>1331</v>
      </c>
      <c r="F221" s="34">
        <f>IFERROR(_xlfn.XLOOKUP(E221,Index!$A:$A,Index!$B:$B),"")</f>
        <v>541</v>
      </c>
      <c r="L221" s="238"/>
    </row>
    <row r="222" spans="1:12" x14ac:dyDescent="0.2">
      <c r="A222" s="26"/>
      <c r="B222" s="26"/>
      <c r="C222" s="94" t="s">
        <v>231</v>
      </c>
      <c r="D222" s="35">
        <v>65</v>
      </c>
      <c r="E222" s="35" t="s">
        <v>1332</v>
      </c>
      <c r="F222" s="34">
        <f>IFERROR(_xlfn.XLOOKUP(E222,Index!$A:$A,Index!$B:$B),"")</f>
        <v>996.5</v>
      </c>
      <c r="L222" s="238"/>
    </row>
    <row r="223" spans="1:12" x14ac:dyDescent="0.2">
      <c r="A223" s="26"/>
      <c r="B223" s="26"/>
      <c r="C223" s="94" t="s">
        <v>1166</v>
      </c>
      <c r="D223" s="35">
        <v>80</v>
      </c>
      <c r="E223" s="35" t="s">
        <v>1333</v>
      </c>
      <c r="F223" s="34">
        <f>IFERROR(_xlfn.XLOOKUP(E223,Index!$A:$A,Index!$B:$B),"")</f>
        <v>996.5</v>
      </c>
      <c r="L223" s="238"/>
    </row>
    <row r="224" spans="1:12" x14ac:dyDescent="0.2">
      <c r="A224" s="26"/>
      <c r="B224" s="26"/>
      <c r="C224" s="94" t="s">
        <v>1170</v>
      </c>
      <c r="D224" s="35">
        <v>100</v>
      </c>
      <c r="E224" s="35" t="s">
        <v>1430</v>
      </c>
      <c r="F224" s="34">
        <f>IFERROR(_xlfn.XLOOKUP(E224,Index!$A:$A,Index!$B:$B),"")</f>
        <v>1080</v>
      </c>
      <c r="L224" s="238"/>
    </row>
    <row r="225" spans="1:12" x14ac:dyDescent="0.2">
      <c r="A225" s="26"/>
      <c r="B225" s="26"/>
      <c r="C225" s="94" t="s">
        <v>1174</v>
      </c>
      <c r="D225" s="35">
        <v>125</v>
      </c>
      <c r="E225" s="35" t="s">
        <v>1431</v>
      </c>
      <c r="F225" s="34">
        <f>IFERROR(_xlfn.XLOOKUP(E225,Index!$A:$A,Index!$B:$B),"")</f>
        <v>2492</v>
      </c>
      <c r="L225" s="238"/>
    </row>
    <row r="226" spans="1:12" x14ac:dyDescent="0.2">
      <c r="A226" s="26"/>
      <c r="B226" s="26"/>
      <c r="C226" s="94" t="s">
        <v>1178</v>
      </c>
      <c r="D226" s="35">
        <v>150</v>
      </c>
      <c r="E226" s="35" t="s">
        <v>1432</v>
      </c>
      <c r="F226" s="34">
        <f>IFERROR(_xlfn.XLOOKUP(E226,Index!$A:$A,Index!$B:$B),"")</f>
        <v>2658</v>
      </c>
      <c r="L226" s="238"/>
    </row>
    <row r="227" spans="1:12" x14ac:dyDescent="0.2">
      <c r="A227" s="26"/>
      <c r="B227" s="26"/>
      <c r="C227" s="94" t="s">
        <v>1182</v>
      </c>
      <c r="D227" s="35">
        <v>200</v>
      </c>
      <c r="E227" s="35" t="s">
        <v>1433</v>
      </c>
      <c r="F227" s="34">
        <f>IFERROR(_xlfn.XLOOKUP(E227,Index!$A:$A,Index!$B:$B),"")</f>
        <v>2908</v>
      </c>
      <c r="L227" s="238"/>
    </row>
    <row r="228" spans="1:12" x14ac:dyDescent="0.2">
      <c r="A228" s="26"/>
      <c r="B228" s="26"/>
      <c r="C228" s="94" t="s">
        <v>1186</v>
      </c>
      <c r="D228" s="35">
        <v>250</v>
      </c>
      <c r="E228" s="35" t="s">
        <v>1434</v>
      </c>
      <c r="F228" s="34">
        <f>IFERROR(_xlfn.XLOOKUP(E228,Index!$A:$A,Index!$B:$B),"")</f>
        <v>3239</v>
      </c>
      <c r="L228" s="238"/>
    </row>
    <row r="229" spans="1:12" x14ac:dyDescent="0.2">
      <c r="A229" s="26"/>
      <c r="B229" s="60" t="s">
        <v>1435</v>
      </c>
      <c r="C229" s="94" t="s">
        <v>1150</v>
      </c>
      <c r="D229" s="35">
        <v>25</v>
      </c>
      <c r="E229" s="35" t="s">
        <v>1335</v>
      </c>
      <c r="F229" s="34">
        <f>IFERROR(_xlfn.XLOOKUP(E229,Index!$A:$A,Index!$B:$B),"")</f>
        <v>498.5</v>
      </c>
      <c r="L229" s="238"/>
    </row>
    <row r="230" spans="1:12" x14ac:dyDescent="0.2">
      <c r="A230" s="26"/>
      <c r="B230" s="26"/>
      <c r="C230" s="94" t="s">
        <v>223</v>
      </c>
      <c r="D230" s="35">
        <v>32</v>
      </c>
      <c r="E230" s="35" t="s">
        <v>1336</v>
      </c>
      <c r="F230" s="34">
        <f>IFERROR(_xlfn.XLOOKUP(E230,Index!$A:$A,Index!$B:$B),"")</f>
        <v>541</v>
      </c>
      <c r="L230" s="238"/>
    </row>
    <row r="231" spans="1:12" x14ac:dyDescent="0.2">
      <c r="A231" s="26"/>
      <c r="B231" s="26"/>
      <c r="C231" s="94" t="s">
        <v>225</v>
      </c>
      <c r="D231" s="35">
        <v>40</v>
      </c>
      <c r="E231" s="35" t="s">
        <v>1336</v>
      </c>
      <c r="F231" s="34">
        <f>IFERROR(_xlfn.XLOOKUP(E231,Index!$A:$A,Index!$B:$B),"")</f>
        <v>541</v>
      </c>
      <c r="L231" s="238"/>
    </row>
    <row r="232" spans="1:12" x14ac:dyDescent="0.2">
      <c r="A232" s="26"/>
      <c r="B232" s="26"/>
      <c r="C232" s="94" t="s">
        <v>1159</v>
      </c>
      <c r="D232" s="35">
        <v>50</v>
      </c>
      <c r="E232" s="35" t="s">
        <v>1337</v>
      </c>
      <c r="F232" s="34">
        <f>IFERROR(_xlfn.XLOOKUP(E232,Index!$A:$A,Index!$B:$B),"")</f>
        <v>541</v>
      </c>
      <c r="L232" s="238"/>
    </row>
    <row r="233" spans="1:12" x14ac:dyDescent="0.2">
      <c r="A233" s="26"/>
      <c r="B233" s="26"/>
      <c r="C233" s="94" t="s">
        <v>231</v>
      </c>
      <c r="D233" s="35">
        <v>65</v>
      </c>
      <c r="E233" s="35" t="s">
        <v>1338</v>
      </c>
      <c r="F233" s="34">
        <f>IFERROR(_xlfn.XLOOKUP(E233,Index!$A:$A,Index!$B:$B),"")</f>
        <v>996.5</v>
      </c>
      <c r="L233" s="238"/>
    </row>
    <row r="234" spans="1:12" x14ac:dyDescent="0.2">
      <c r="A234" s="26"/>
      <c r="B234" s="26"/>
      <c r="C234" s="94" t="s">
        <v>1166</v>
      </c>
      <c r="D234" s="35">
        <v>80</v>
      </c>
      <c r="E234" s="35" t="s">
        <v>1339</v>
      </c>
      <c r="F234" s="34">
        <f>IFERROR(_xlfn.XLOOKUP(E234,Index!$A:$A,Index!$B:$B),"")</f>
        <v>996.5</v>
      </c>
      <c r="L234" s="238"/>
    </row>
    <row r="235" spans="1:12" x14ac:dyDescent="0.2">
      <c r="A235" s="26"/>
      <c r="B235" s="26"/>
      <c r="C235" s="94" t="s">
        <v>1170</v>
      </c>
      <c r="D235" s="35">
        <v>100</v>
      </c>
      <c r="E235" s="35" t="s">
        <v>1436</v>
      </c>
      <c r="F235" s="34">
        <f>IFERROR(_xlfn.XLOOKUP(E235,Index!$A:$A,Index!$B:$B),"")</f>
        <v>1080</v>
      </c>
      <c r="L235" s="238"/>
    </row>
    <row r="236" spans="1:12" x14ac:dyDescent="0.2">
      <c r="A236" s="26"/>
      <c r="B236" s="26"/>
      <c r="C236" s="94" t="s">
        <v>1174</v>
      </c>
      <c r="D236" s="35">
        <v>125</v>
      </c>
      <c r="E236" s="38" t="s">
        <v>5542</v>
      </c>
      <c r="F236" s="46">
        <f>F237-100</f>
        <v>2558</v>
      </c>
      <c r="L236" s="238"/>
    </row>
    <row r="237" spans="1:12" x14ac:dyDescent="0.2">
      <c r="A237" s="26"/>
      <c r="B237" s="26"/>
      <c r="C237" s="94" t="s">
        <v>1178</v>
      </c>
      <c r="D237" s="35">
        <v>150</v>
      </c>
      <c r="E237" s="35" t="s">
        <v>1437</v>
      </c>
      <c r="F237" s="34">
        <f>IFERROR(_xlfn.XLOOKUP(E237,Index!$A:$A,Index!$B:$B),"")</f>
        <v>2658</v>
      </c>
      <c r="L237" s="238"/>
    </row>
    <row r="238" spans="1:12" x14ac:dyDescent="0.2">
      <c r="A238" s="26"/>
      <c r="B238" s="26"/>
      <c r="C238" s="94" t="s">
        <v>1182</v>
      </c>
      <c r="D238" s="35">
        <v>200</v>
      </c>
      <c r="E238" s="35" t="s">
        <v>1438</v>
      </c>
      <c r="F238" s="34">
        <f>IFERROR(_xlfn.XLOOKUP(E238,Index!$A:$A,Index!$B:$B),"")</f>
        <v>2908</v>
      </c>
      <c r="L238" s="238"/>
    </row>
    <row r="239" spans="1:12" x14ac:dyDescent="0.2">
      <c r="A239" s="26"/>
      <c r="B239" s="26"/>
      <c r="C239" s="94" t="s">
        <v>1186</v>
      </c>
      <c r="D239" s="35">
        <v>250</v>
      </c>
      <c r="E239" s="35" t="s">
        <v>1439</v>
      </c>
      <c r="F239" s="34">
        <f>IFERROR(_xlfn.XLOOKUP(E239,Index!$A:$A,Index!$B:$B),"")</f>
        <v>3239</v>
      </c>
      <c r="L239" s="238"/>
    </row>
    <row r="240" spans="1:12" x14ac:dyDescent="0.2">
      <c r="A240" s="26"/>
      <c r="B240" s="60" t="s">
        <v>1440</v>
      </c>
      <c r="C240" s="94" t="s">
        <v>1150</v>
      </c>
      <c r="D240" s="35">
        <v>25</v>
      </c>
      <c r="E240" s="35" t="s">
        <v>1341</v>
      </c>
      <c r="F240" s="34">
        <f>IFERROR(_xlfn.XLOOKUP(E240,Index!$A:$A,Index!$B:$B),"")</f>
        <v>498.5</v>
      </c>
      <c r="L240" s="238"/>
    </row>
    <row r="241" spans="1:12" x14ac:dyDescent="0.2">
      <c r="A241" s="26"/>
      <c r="B241" s="26"/>
      <c r="C241" s="94" t="s">
        <v>223</v>
      </c>
      <c r="D241" s="35">
        <v>32</v>
      </c>
      <c r="E241" s="35" t="s">
        <v>1342</v>
      </c>
      <c r="F241" s="34">
        <f>IFERROR(_xlfn.XLOOKUP(E241,Index!$A:$A,Index!$B:$B),"")</f>
        <v>541</v>
      </c>
      <c r="L241" s="238"/>
    </row>
    <row r="242" spans="1:12" x14ac:dyDescent="0.2">
      <c r="A242" s="26"/>
      <c r="B242" s="26"/>
      <c r="C242" s="94" t="s">
        <v>225</v>
      </c>
      <c r="D242" s="35">
        <v>40</v>
      </c>
      <c r="E242" s="35" t="s">
        <v>1343</v>
      </c>
      <c r="F242" s="34">
        <f>IFERROR(_xlfn.XLOOKUP(E242,Index!$A:$A,Index!$B:$B),"")</f>
        <v>541</v>
      </c>
      <c r="L242" s="238"/>
    </row>
    <row r="243" spans="1:12" x14ac:dyDescent="0.2">
      <c r="A243" s="26"/>
      <c r="B243" s="26"/>
      <c r="C243" s="94" t="s">
        <v>1159</v>
      </c>
      <c r="D243" s="35">
        <v>50</v>
      </c>
      <c r="E243" s="35" t="s">
        <v>1344</v>
      </c>
      <c r="F243" s="34">
        <f>IFERROR(_xlfn.XLOOKUP(E243,Index!$A:$A,Index!$B:$B),"")</f>
        <v>541</v>
      </c>
      <c r="L243" s="238"/>
    </row>
    <row r="244" spans="1:12" x14ac:dyDescent="0.2">
      <c r="A244" s="26"/>
      <c r="B244" s="26"/>
      <c r="C244" s="94" t="s">
        <v>231</v>
      </c>
      <c r="D244" s="35">
        <v>65</v>
      </c>
      <c r="E244" s="35" t="s">
        <v>1345</v>
      </c>
      <c r="F244" s="34">
        <f>IFERROR(_xlfn.XLOOKUP(E244,Index!$A:$A,Index!$B:$B),"")</f>
        <v>996.5</v>
      </c>
      <c r="L244" s="238"/>
    </row>
    <row r="245" spans="1:12" x14ac:dyDescent="0.2">
      <c r="A245" s="26"/>
      <c r="B245" s="26"/>
      <c r="C245" s="94" t="s">
        <v>1166</v>
      </c>
      <c r="D245" s="35">
        <v>80</v>
      </c>
      <c r="E245" s="35" t="s">
        <v>1346</v>
      </c>
      <c r="F245" s="34">
        <f>IFERROR(_xlfn.XLOOKUP(E245,Index!$A:$A,Index!$B:$B),"")</f>
        <v>996.5</v>
      </c>
      <c r="L245" s="238"/>
    </row>
    <row r="246" spans="1:12" x14ac:dyDescent="0.2">
      <c r="A246" s="26"/>
      <c r="B246" s="26"/>
      <c r="C246" s="94" t="s">
        <v>1170</v>
      </c>
      <c r="D246" s="35">
        <v>100</v>
      </c>
      <c r="E246" s="35" t="s">
        <v>1441</v>
      </c>
      <c r="F246" s="34">
        <f>IFERROR(_xlfn.XLOOKUP(E246,Index!$A:$A,Index!$B:$B),"")</f>
        <v>1080</v>
      </c>
      <c r="L246" s="238"/>
    </row>
    <row r="247" spans="1:12" x14ac:dyDescent="0.2">
      <c r="A247" s="26"/>
      <c r="B247" s="26"/>
      <c r="C247" s="94" t="s">
        <v>1174</v>
      </c>
      <c r="D247" s="35">
        <v>125</v>
      </c>
      <c r="E247" s="38" t="s">
        <v>5542</v>
      </c>
      <c r="F247" s="46">
        <f>F248-100</f>
        <v>2558</v>
      </c>
      <c r="L247" s="238"/>
    </row>
    <row r="248" spans="1:12" x14ac:dyDescent="0.2">
      <c r="A248" s="26"/>
      <c r="B248" s="26"/>
      <c r="C248" s="94" t="s">
        <v>1178</v>
      </c>
      <c r="D248" s="35">
        <v>150</v>
      </c>
      <c r="E248" s="35" t="s">
        <v>1442</v>
      </c>
      <c r="F248" s="34">
        <f>IFERROR(_xlfn.XLOOKUP(E248,Index!$A:$A,Index!$B:$B),"")</f>
        <v>2658</v>
      </c>
      <c r="L248" s="238"/>
    </row>
    <row r="249" spans="1:12" x14ac:dyDescent="0.2">
      <c r="A249" s="26"/>
      <c r="B249" s="26"/>
      <c r="C249" s="94" t="s">
        <v>1182</v>
      </c>
      <c r="D249" s="35">
        <v>200</v>
      </c>
      <c r="E249" s="35" t="s">
        <v>1443</v>
      </c>
      <c r="F249" s="34">
        <f>IFERROR(_xlfn.XLOOKUP(E249,Index!$A:$A,Index!$B:$B),"")</f>
        <v>2908</v>
      </c>
      <c r="L249" s="238"/>
    </row>
    <row r="250" spans="1:12" x14ac:dyDescent="0.2">
      <c r="A250" s="26"/>
      <c r="B250" s="26"/>
      <c r="C250" s="94" t="s">
        <v>1186</v>
      </c>
      <c r="D250" s="35">
        <v>250</v>
      </c>
      <c r="E250" s="35" t="s">
        <v>1444</v>
      </c>
      <c r="F250" s="34">
        <f>IFERROR(_xlfn.XLOOKUP(E250,Index!$A:$A,Index!$B:$B),"")</f>
        <v>3239</v>
      </c>
      <c r="L250" s="238"/>
    </row>
    <row r="251" spans="1:12" x14ac:dyDescent="0.2">
      <c r="A251" s="26"/>
      <c r="B251" s="60" t="s">
        <v>1445</v>
      </c>
      <c r="C251" s="94" t="s">
        <v>1150</v>
      </c>
      <c r="D251" s="35">
        <v>25</v>
      </c>
      <c r="E251" s="35" t="s">
        <v>1348</v>
      </c>
      <c r="F251" s="34">
        <f>IFERROR(_xlfn.XLOOKUP(E251,Index!$A:$A,Index!$B:$B),"")</f>
        <v>498.5</v>
      </c>
      <c r="L251" s="238"/>
    </row>
    <row r="252" spans="1:12" x14ac:dyDescent="0.2">
      <c r="A252" s="26"/>
      <c r="B252" s="26"/>
      <c r="C252" s="94" t="s">
        <v>223</v>
      </c>
      <c r="D252" s="35">
        <v>32</v>
      </c>
      <c r="E252" s="35" t="s">
        <v>1349</v>
      </c>
      <c r="F252" s="34">
        <f>IFERROR(_xlfn.XLOOKUP(E252,Index!$A:$A,Index!$B:$B),"")</f>
        <v>541</v>
      </c>
      <c r="L252" s="238"/>
    </row>
    <row r="253" spans="1:12" x14ac:dyDescent="0.2">
      <c r="A253" s="26"/>
      <c r="B253" s="26"/>
      <c r="C253" s="94" t="s">
        <v>225</v>
      </c>
      <c r="D253" s="35">
        <v>40</v>
      </c>
      <c r="E253" s="35" t="s">
        <v>1350</v>
      </c>
      <c r="F253" s="34">
        <f>IFERROR(_xlfn.XLOOKUP(E253,Index!$A:$A,Index!$B:$B),"")</f>
        <v>541</v>
      </c>
      <c r="L253" s="238"/>
    </row>
    <row r="254" spans="1:12" x14ac:dyDescent="0.2">
      <c r="A254" s="26"/>
      <c r="B254" s="26"/>
      <c r="C254" s="94" t="s">
        <v>1159</v>
      </c>
      <c r="D254" s="35">
        <v>50</v>
      </c>
      <c r="E254" s="35" t="s">
        <v>1351</v>
      </c>
      <c r="F254" s="34">
        <f>IFERROR(_xlfn.XLOOKUP(E254,Index!$A:$A,Index!$B:$B),"")</f>
        <v>541</v>
      </c>
      <c r="L254" s="238"/>
    </row>
    <row r="255" spans="1:12" x14ac:dyDescent="0.2">
      <c r="A255" s="26"/>
      <c r="B255" s="26"/>
      <c r="C255" s="94" t="s">
        <v>231</v>
      </c>
      <c r="D255" s="35">
        <v>65</v>
      </c>
      <c r="E255" s="35" t="s">
        <v>1352</v>
      </c>
      <c r="F255" s="34">
        <f>IFERROR(_xlfn.XLOOKUP(E255,Index!$A:$A,Index!$B:$B),"")</f>
        <v>996.5</v>
      </c>
      <c r="L255" s="238"/>
    </row>
    <row r="256" spans="1:12" x14ac:dyDescent="0.2">
      <c r="A256" s="26"/>
      <c r="B256" s="26"/>
      <c r="C256" s="94" t="s">
        <v>1166</v>
      </c>
      <c r="D256" s="35">
        <v>80</v>
      </c>
      <c r="E256" s="35" t="s">
        <v>1353</v>
      </c>
      <c r="F256" s="34">
        <f>IFERROR(_xlfn.XLOOKUP(E256,Index!$A:$A,Index!$B:$B),"")</f>
        <v>996.5</v>
      </c>
      <c r="L256" s="238"/>
    </row>
    <row r="257" spans="1:12" x14ac:dyDescent="0.2">
      <c r="A257" s="26"/>
      <c r="B257" s="26"/>
      <c r="C257" s="94" t="s">
        <v>1170</v>
      </c>
      <c r="D257" s="35">
        <v>100</v>
      </c>
      <c r="E257" s="35" t="s">
        <v>1446</v>
      </c>
      <c r="F257" s="34">
        <f>IFERROR(_xlfn.XLOOKUP(E257,Index!$A:$A,Index!$B:$B),"")</f>
        <v>1080</v>
      </c>
      <c r="L257" s="238"/>
    </row>
    <row r="258" spans="1:12" x14ac:dyDescent="0.2">
      <c r="A258" s="26"/>
      <c r="B258" s="26"/>
      <c r="C258" s="94" t="s">
        <v>1174</v>
      </c>
      <c r="D258" s="35">
        <v>125</v>
      </c>
      <c r="E258" s="38" t="s">
        <v>5542</v>
      </c>
      <c r="F258" s="46">
        <f>F259-100</f>
        <v>2558</v>
      </c>
      <c r="L258" s="238"/>
    </row>
    <row r="259" spans="1:12" x14ac:dyDescent="0.2">
      <c r="A259" s="26"/>
      <c r="B259" s="26"/>
      <c r="C259" s="94" t="s">
        <v>1178</v>
      </c>
      <c r="D259" s="35">
        <v>150</v>
      </c>
      <c r="E259" s="35" t="s">
        <v>1447</v>
      </c>
      <c r="F259" s="34">
        <f>IFERROR(_xlfn.XLOOKUP(E259,Index!$A:$A,Index!$B:$B),"")</f>
        <v>2658</v>
      </c>
      <c r="L259" s="238"/>
    </row>
    <row r="260" spans="1:12" x14ac:dyDescent="0.2">
      <c r="A260" s="26"/>
      <c r="B260" s="26"/>
      <c r="C260" s="94" t="s">
        <v>1182</v>
      </c>
      <c r="D260" s="35">
        <v>200</v>
      </c>
      <c r="E260" s="35" t="s">
        <v>1448</v>
      </c>
      <c r="F260" s="34">
        <f>IFERROR(_xlfn.XLOOKUP(E260,Index!$A:$A,Index!$B:$B),"")</f>
        <v>2908</v>
      </c>
      <c r="L260" s="238"/>
    </row>
    <row r="261" spans="1:12" x14ac:dyDescent="0.2">
      <c r="A261" s="26"/>
      <c r="B261" s="26"/>
      <c r="C261" s="94" t="s">
        <v>1186</v>
      </c>
      <c r="D261" s="35">
        <v>250</v>
      </c>
      <c r="E261" s="38" t="s">
        <v>5542</v>
      </c>
      <c r="F261" s="46">
        <f>F260+200</f>
        <v>3108</v>
      </c>
      <c r="L261" s="238"/>
    </row>
    <row r="262" spans="1:12" x14ac:dyDescent="0.2">
      <c r="B262" s="60" t="s">
        <v>1449</v>
      </c>
      <c r="C262" s="94" t="s">
        <v>1150</v>
      </c>
      <c r="D262" s="35">
        <v>25</v>
      </c>
      <c r="E262" s="35" t="s">
        <v>1355</v>
      </c>
      <c r="F262" s="34">
        <f>IFERROR(_xlfn.XLOOKUP(E262,Index!$A:$A,Index!$B:$B),"")</f>
        <v>498.5</v>
      </c>
      <c r="L262" s="238"/>
    </row>
    <row r="263" spans="1:12" x14ac:dyDescent="0.2">
      <c r="B263" s="26"/>
      <c r="C263" s="94" t="s">
        <v>223</v>
      </c>
      <c r="D263" s="35">
        <v>32</v>
      </c>
      <c r="E263" s="35" t="s">
        <v>1356</v>
      </c>
      <c r="F263" s="34">
        <f>IFERROR(_xlfn.XLOOKUP(E263,Index!$A:$A,Index!$B:$B),"")</f>
        <v>541</v>
      </c>
      <c r="L263" s="238"/>
    </row>
    <row r="264" spans="1:12" x14ac:dyDescent="0.2">
      <c r="B264" s="26"/>
      <c r="C264" s="94" t="s">
        <v>225</v>
      </c>
      <c r="D264" s="35">
        <v>40</v>
      </c>
      <c r="E264" s="35" t="s">
        <v>1357</v>
      </c>
      <c r="F264" s="34">
        <f>IFERROR(_xlfn.XLOOKUP(E264,Index!$A:$A,Index!$B:$B),"")</f>
        <v>541</v>
      </c>
      <c r="L264" s="238"/>
    </row>
    <row r="265" spans="1:12" x14ac:dyDescent="0.2">
      <c r="B265" s="26"/>
      <c r="C265" s="94" t="s">
        <v>1159</v>
      </c>
      <c r="D265" s="35">
        <v>50</v>
      </c>
      <c r="E265" s="35" t="s">
        <v>1358</v>
      </c>
      <c r="F265" s="34">
        <f>IFERROR(_xlfn.XLOOKUP(E265,Index!$A:$A,Index!$B:$B),"")</f>
        <v>541</v>
      </c>
      <c r="L265" s="238"/>
    </row>
    <row r="266" spans="1:12" x14ac:dyDescent="0.2">
      <c r="B266" s="26"/>
      <c r="C266" s="94" t="s">
        <v>231</v>
      </c>
      <c r="D266" s="35">
        <v>65</v>
      </c>
      <c r="E266" s="35" t="s">
        <v>1359</v>
      </c>
      <c r="F266" s="34">
        <f>IFERROR(_xlfn.XLOOKUP(E266,Index!$A:$A,Index!$B:$B),"")</f>
        <v>996.5</v>
      </c>
      <c r="L266" s="238"/>
    </row>
    <row r="267" spans="1:12" x14ac:dyDescent="0.2">
      <c r="B267" s="26"/>
      <c r="C267" s="94" t="s">
        <v>1166</v>
      </c>
      <c r="D267" s="35">
        <v>80</v>
      </c>
      <c r="E267" s="35" t="s">
        <v>1360</v>
      </c>
      <c r="F267" s="34">
        <f>IFERROR(_xlfn.XLOOKUP(E267,Index!$A:$A,Index!$B:$B),"")</f>
        <v>996.5</v>
      </c>
      <c r="L267" s="238"/>
    </row>
    <row r="268" spans="1:12" x14ac:dyDescent="0.2">
      <c r="B268" s="26"/>
      <c r="C268" s="94" t="s">
        <v>1170</v>
      </c>
      <c r="D268" s="35">
        <v>100</v>
      </c>
      <c r="E268" s="35" t="s">
        <v>1450</v>
      </c>
      <c r="F268" s="34">
        <f>IFERROR(_xlfn.XLOOKUP(E268,Index!$A:$A,Index!$B:$B),"")</f>
        <v>1080</v>
      </c>
      <c r="L268" s="238"/>
    </row>
    <row r="269" spans="1:12" x14ac:dyDescent="0.2">
      <c r="B269" s="26"/>
      <c r="C269" s="94" t="s">
        <v>1174</v>
      </c>
      <c r="D269" s="35">
        <v>125</v>
      </c>
      <c r="E269" s="38" t="s">
        <v>5542</v>
      </c>
      <c r="F269" s="46">
        <f>F270-100</f>
        <v>2558</v>
      </c>
      <c r="L269" s="238"/>
    </row>
    <row r="270" spans="1:12" x14ac:dyDescent="0.2">
      <c r="B270" s="26"/>
      <c r="C270" s="94" t="s">
        <v>1178</v>
      </c>
      <c r="D270" s="35">
        <v>150</v>
      </c>
      <c r="E270" s="35" t="s">
        <v>1451</v>
      </c>
      <c r="F270" s="34">
        <f>IFERROR(_xlfn.XLOOKUP(E270,Index!$A:$A,Index!$B:$B),"")</f>
        <v>2658</v>
      </c>
      <c r="L270" s="238"/>
    </row>
    <row r="271" spans="1:12" x14ac:dyDescent="0.2">
      <c r="B271" s="26"/>
      <c r="C271" s="94" t="s">
        <v>1182</v>
      </c>
      <c r="D271" s="35">
        <v>200</v>
      </c>
      <c r="E271" s="35" t="s">
        <v>1452</v>
      </c>
      <c r="F271" s="34">
        <f>IFERROR(_xlfn.XLOOKUP(E271,Index!$A:$A,Index!$B:$B),"")</f>
        <v>2908</v>
      </c>
      <c r="L271" s="238"/>
    </row>
    <row r="272" spans="1:12" x14ac:dyDescent="0.2">
      <c r="A272" s="245"/>
      <c r="B272" s="121"/>
      <c r="C272" s="94" t="s">
        <v>1186</v>
      </c>
      <c r="D272" s="35">
        <v>250</v>
      </c>
      <c r="E272" s="35" t="s">
        <v>1453</v>
      </c>
      <c r="F272" s="34">
        <f>IFERROR(_xlfn.XLOOKUP(E272,Index!$A:$A,Index!$B:$B),"")</f>
        <v>3239</v>
      </c>
      <c r="L272" s="238"/>
    </row>
    <row r="273" spans="1:12" x14ac:dyDescent="0.2">
      <c r="A273" s="26"/>
      <c r="B273" s="60" t="s">
        <v>1361</v>
      </c>
      <c r="C273" s="70">
        <v>0.5</v>
      </c>
      <c r="D273" s="38">
        <v>15</v>
      </c>
      <c r="E273" s="35" t="s">
        <v>1362</v>
      </c>
      <c r="F273" s="34">
        <f>IFERROR(_xlfn.XLOOKUP(E273,Index!$A:$A,Index!$B:$B),"")</f>
        <v>25.5</v>
      </c>
      <c r="L273" s="238"/>
    </row>
    <row r="274" spans="1:12" x14ac:dyDescent="0.2">
      <c r="A274" s="26"/>
      <c r="B274" s="26"/>
      <c r="C274" s="64">
        <v>0.75</v>
      </c>
      <c r="D274" s="116">
        <v>20</v>
      </c>
      <c r="E274" s="35" t="s">
        <v>1362</v>
      </c>
      <c r="F274" s="34">
        <f>IFERROR(_xlfn.XLOOKUP(E274,Index!$A:$A,Index!$B:$B),"")</f>
        <v>25.5</v>
      </c>
      <c r="L274" s="238"/>
    </row>
    <row r="275" spans="1:12" x14ac:dyDescent="0.2">
      <c r="A275" s="26"/>
      <c r="B275" s="26"/>
      <c r="C275" s="64">
        <v>1</v>
      </c>
      <c r="D275" s="116">
        <v>25</v>
      </c>
      <c r="E275" s="35" t="s">
        <v>1362</v>
      </c>
      <c r="F275" s="34">
        <f>IFERROR(_xlfn.XLOOKUP(E275,Index!$A:$A,Index!$B:$B),"")</f>
        <v>25.5</v>
      </c>
      <c r="L275" s="238"/>
    </row>
    <row r="276" spans="1:12" x14ac:dyDescent="0.2">
      <c r="A276" s="26"/>
      <c r="B276" s="26"/>
      <c r="C276" s="64">
        <v>1.25</v>
      </c>
      <c r="D276" s="116">
        <v>32</v>
      </c>
      <c r="E276" s="35" t="s">
        <v>1362</v>
      </c>
      <c r="F276" s="34">
        <f>IFERROR(_xlfn.XLOOKUP(E276,Index!$A:$A,Index!$B:$B),"")</f>
        <v>25.5</v>
      </c>
      <c r="L276" s="238"/>
    </row>
    <row r="277" spans="1:12" x14ac:dyDescent="0.2">
      <c r="A277" s="26"/>
      <c r="B277" s="26"/>
      <c r="C277" s="64">
        <v>1.5</v>
      </c>
      <c r="D277" s="116">
        <v>40</v>
      </c>
      <c r="E277" s="35" t="s">
        <v>1362</v>
      </c>
      <c r="F277" s="34">
        <f>IFERROR(_xlfn.XLOOKUP(E277,Index!$A:$A,Index!$B:$B),"")</f>
        <v>25.5</v>
      </c>
      <c r="L277" s="238"/>
    </row>
    <row r="278" spans="1:12" x14ac:dyDescent="0.2">
      <c r="A278" s="26"/>
      <c r="B278" s="26"/>
      <c r="C278" s="64">
        <v>2</v>
      </c>
      <c r="D278" s="116">
        <v>50</v>
      </c>
      <c r="E278" s="35" t="s">
        <v>1363</v>
      </c>
      <c r="F278" s="34">
        <f>IFERROR(_xlfn.XLOOKUP(E278,Index!$A:$A,Index!$B:$B),"")</f>
        <v>25.5</v>
      </c>
      <c r="L278" s="238"/>
    </row>
    <row r="279" spans="1:12" x14ac:dyDescent="0.2">
      <c r="A279" s="26"/>
      <c r="B279" s="26"/>
      <c r="C279" s="64">
        <v>2.5</v>
      </c>
      <c r="D279" s="116">
        <v>65</v>
      </c>
      <c r="E279" s="35" t="s">
        <v>1363</v>
      </c>
      <c r="F279" s="34">
        <f>IFERROR(_xlfn.XLOOKUP(E279,Index!$A:$A,Index!$B:$B),"")</f>
        <v>25.5</v>
      </c>
      <c r="L279" s="238"/>
    </row>
    <row r="280" spans="1:12" x14ac:dyDescent="0.2">
      <c r="A280" s="27"/>
      <c r="B280" s="27"/>
      <c r="C280" s="64">
        <v>3</v>
      </c>
      <c r="D280" s="116">
        <v>80</v>
      </c>
      <c r="E280" s="35" t="s">
        <v>1363</v>
      </c>
      <c r="F280" s="34">
        <f>IFERROR(_xlfn.XLOOKUP(E280,Index!$A:$A,Index!$B:$B),"")</f>
        <v>25.5</v>
      </c>
      <c r="L280" s="238"/>
    </row>
    <row r="281" spans="1:12" x14ac:dyDescent="0.2">
      <c r="L281" s="238"/>
    </row>
    <row r="282" spans="1:12" ht="15.75" x14ac:dyDescent="0.2">
      <c r="A282" s="71" t="s">
        <v>1454</v>
      </c>
      <c r="B282" s="71" t="s">
        <v>214</v>
      </c>
      <c r="D282" s="3"/>
      <c r="E282" s="8"/>
      <c r="F282" s="9"/>
      <c r="G282" s="10"/>
      <c r="H282" s="19"/>
      <c r="I282" s="19"/>
      <c r="J282" s="20"/>
      <c r="L282" s="238"/>
    </row>
    <row r="283" spans="1:12" ht="15.75" x14ac:dyDescent="0.2">
      <c r="A283" s="48" t="s">
        <v>1455</v>
      </c>
      <c r="B283" s="11"/>
      <c r="C283" s="4"/>
      <c r="D283" s="4"/>
      <c r="E283" s="5"/>
      <c r="F283" s="9"/>
      <c r="G283" s="4"/>
      <c r="H283" s="19"/>
      <c r="I283" s="19"/>
      <c r="J283" s="20"/>
      <c r="L283" s="238"/>
    </row>
    <row r="284" spans="1:12" ht="24" x14ac:dyDescent="0.2">
      <c r="A284" s="25" t="s">
        <v>35</v>
      </c>
      <c r="B284" s="28" t="s">
        <v>36</v>
      </c>
      <c r="C284" s="333" t="s">
        <v>37</v>
      </c>
      <c r="D284" s="334"/>
      <c r="E284" s="335" t="s">
        <v>38</v>
      </c>
      <c r="F284" s="336"/>
      <c r="G284" s="337" t="s">
        <v>39</v>
      </c>
      <c r="H284" s="336"/>
      <c r="I284" s="29" t="s">
        <v>1271</v>
      </c>
      <c r="J284" s="24" t="s">
        <v>41</v>
      </c>
      <c r="L284" s="238"/>
    </row>
    <row r="285" spans="1:12" x14ac:dyDescent="0.2">
      <c r="A285" s="32"/>
      <c r="B285" s="32"/>
      <c r="C285" s="33" t="s">
        <v>42</v>
      </c>
      <c r="D285" s="33" t="s">
        <v>43</v>
      </c>
      <c r="E285" s="33" t="s">
        <v>44</v>
      </c>
      <c r="F285" s="33" t="s">
        <v>45</v>
      </c>
      <c r="G285" s="33" t="s">
        <v>46</v>
      </c>
      <c r="H285" s="39" t="s">
        <v>47</v>
      </c>
      <c r="I285" s="33"/>
      <c r="J285" s="41"/>
      <c r="L285" s="238"/>
    </row>
    <row r="286" spans="1:12" x14ac:dyDescent="0.2">
      <c r="A286" s="26" t="s">
        <v>1456</v>
      </c>
      <c r="B286" s="26" t="s">
        <v>1367</v>
      </c>
      <c r="C286" s="30" t="s">
        <v>50</v>
      </c>
      <c r="D286" s="35" t="s">
        <v>176</v>
      </c>
      <c r="E286" s="82" t="s">
        <v>1159</v>
      </c>
      <c r="F286" s="37">
        <v>50</v>
      </c>
      <c r="G286" s="35">
        <v>35</v>
      </c>
      <c r="H286" s="38">
        <v>16</v>
      </c>
      <c r="I286" s="38" t="s">
        <v>1457</v>
      </c>
      <c r="J286" s="34">
        <f>IFERROR(_xlfn.XLOOKUP(I286,Index!$A:$A,Index!$B:$B),"")</f>
        <v>825</v>
      </c>
      <c r="L286" s="238"/>
    </row>
    <row r="287" spans="1:12" x14ac:dyDescent="0.2">
      <c r="A287" s="26"/>
      <c r="B287" s="26"/>
      <c r="C287" s="30"/>
      <c r="D287" s="35" t="s">
        <v>53</v>
      </c>
      <c r="E287" s="82" t="s">
        <v>1159</v>
      </c>
      <c r="F287" s="37">
        <v>50</v>
      </c>
      <c r="G287" s="35">
        <v>35</v>
      </c>
      <c r="H287" s="38">
        <v>16</v>
      </c>
      <c r="I287" s="38" t="s">
        <v>1458</v>
      </c>
      <c r="J287" s="34">
        <f>IFERROR(_xlfn.XLOOKUP(I287,Index!$A:$A,Index!$B:$B),"")</f>
        <v>942</v>
      </c>
      <c r="L287" s="238"/>
    </row>
    <row r="288" spans="1:12" x14ac:dyDescent="0.2">
      <c r="A288" s="26"/>
      <c r="B288" s="26"/>
      <c r="C288" s="30"/>
      <c r="D288" s="35" t="s">
        <v>55</v>
      </c>
      <c r="E288" s="82" t="s">
        <v>1159</v>
      </c>
      <c r="F288" s="37">
        <v>50</v>
      </c>
      <c r="G288" s="35">
        <v>35</v>
      </c>
      <c r="H288" s="38">
        <v>16</v>
      </c>
      <c r="I288" s="38" t="s">
        <v>1459</v>
      </c>
      <c r="J288" s="34">
        <f>IFERROR(_xlfn.XLOOKUP(I288,Index!$A:$A,Index!$B:$B),"")</f>
        <v>866.5</v>
      </c>
      <c r="L288" s="238"/>
    </row>
    <row r="289" spans="1:12" x14ac:dyDescent="0.2">
      <c r="A289" s="26"/>
      <c r="B289" s="26"/>
      <c r="C289" s="30"/>
      <c r="D289" s="35" t="s">
        <v>176</v>
      </c>
      <c r="E289" s="82" t="s">
        <v>1460</v>
      </c>
      <c r="F289" s="37">
        <v>65</v>
      </c>
      <c r="G289" s="35">
        <v>32</v>
      </c>
      <c r="H289" s="38">
        <v>15</v>
      </c>
      <c r="I289" s="38" t="s">
        <v>1461</v>
      </c>
      <c r="J289" s="34">
        <f>IFERROR(_xlfn.XLOOKUP(I289,Index!$A:$A,Index!$B:$B),"")</f>
        <v>851.5</v>
      </c>
      <c r="L289" s="238"/>
    </row>
    <row r="290" spans="1:12" x14ac:dyDescent="0.2">
      <c r="A290" s="26"/>
      <c r="B290" s="26"/>
      <c r="C290" s="30"/>
      <c r="D290" s="35" t="s">
        <v>53</v>
      </c>
      <c r="E290" s="82" t="s">
        <v>1460</v>
      </c>
      <c r="F290" s="37">
        <v>65</v>
      </c>
      <c r="G290" s="35">
        <v>32</v>
      </c>
      <c r="H290" s="38">
        <v>15</v>
      </c>
      <c r="I290" s="38" t="s">
        <v>1462</v>
      </c>
      <c r="J290" s="34">
        <f>IFERROR(_xlfn.XLOOKUP(I290,Index!$A:$A,Index!$B:$B),"")</f>
        <v>894</v>
      </c>
      <c r="L290" s="238"/>
    </row>
    <row r="291" spans="1:12" x14ac:dyDescent="0.2">
      <c r="A291" s="26"/>
      <c r="B291" s="26"/>
      <c r="C291" s="30"/>
      <c r="D291" s="35" t="s">
        <v>55</v>
      </c>
      <c r="E291" s="82" t="s">
        <v>1460</v>
      </c>
      <c r="F291" s="37">
        <v>65</v>
      </c>
      <c r="G291" s="35">
        <v>32</v>
      </c>
      <c r="H291" s="38">
        <v>15</v>
      </c>
      <c r="I291" s="38" t="s">
        <v>1463</v>
      </c>
      <c r="J291" s="34">
        <f>IFERROR(_xlfn.XLOOKUP(I291,Index!$A:$A,Index!$B:$B),"")</f>
        <v>894</v>
      </c>
      <c r="L291" s="238"/>
    </row>
    <row r="292" spans="1:12" x14ac:dyDescent="0.2">
      <c r="A292" s="26"/>
      <c r="B292" s="26"/>
      <c r="C292" s="30"/>
      <c r="D292" s="35" t="s">
        <v>176</v>
      </c>
      <c r="E292" s="82" t="s">
        <v>1166</v>
      </c>
      <c r="F292" s="37">
        <v>80</v>
      </c>
      <c r="G292" s="35">
        <v>40</v>
      </c>
      <c r="H292" s="38">
        <v>18</v>
      </c>
      <c r="I292" s="38" t="s">
        <v>1464</v>
      </c>
      <c r="J292" s="34">
        <f>IFERROR(_xlfn.XLOOKUP(I292,Index!$A:$A,Index!$B:$B),"")</f>
        <v>943.5</v>
      </c>
      <c r="L292" s="238"/>
    </row>
    <row r="293" spans="1:12" x14ac:dyDescent="0.2">
      <c r="A293" s="26"/>
      <c r="B293" s="26"/>
      <c r="C293" s="30"/>
      <c r="D293" s="35" t="s">
        <v>53</v>
      </c>
      <c r="E293" s="82" t="s">
        <v>1166</v>
      </c>
      <c r="F293" s="37">
        <v>80</v>
      </c>
      <c r="G293" s="35">
        <v>40</v>
      </c>
      <c r="H293" s="38">
        <v>18</v>
      </c>
      <c r="I293" s="38" t="s">
        <v>1465</v>
      </c>
      <c r="J293" s="34">
        <f>IFERROR(_xlfn.XLOOKUP(I293,Index!$A:$A,Index!$B:$B),"")</f>
        <v>990</v>
      </c>
      <c r="L293" s="238"/>
    </row>
    <row r="294" spans="1:12" x14ac:dyDescent="0.2">
      <c r="A294" s="26"/>
      <c r="B294" s="26"/>
      <c r="C294" s="30"/>
      <c r="D294" s="35" t="s">
        <v>55</v>
      </c>
      <c r="E294" s="82" t="s">
        <v>1166</v>
      </c>
      <c r="F294" s="37">
        <v>80</v>
      </c>
      <c r="G294" s="35">
        <v>40</v>
      </c>
      <c r="H294" s="38">
        <v>18</v>
      </c>
      <c r="I294" s="38" t="s">
        <v>1466</v>
      </c>
      <c r="J294" s="34">
        <f>IFERROR(_xlfn.XLOOKUP(I294,Index!$A:$A,Index!$B:$B),"")</f>
        <v>990</v>
      </c>
      <c r="L294" s="238"/>
    </row>
    <row r="295" spans="1:12" x14ac:dyDescent="0.2">
      <c r="A295" s="26"/>
      <c r="B295" s="26"/>
      <c r="C295" s="30"/>
      <c r="D295" s="35" t="s">
        <v>176</v>
      </c>
      <c r="E295" s="82" t="s">
        <v>1170</v>
      </c>
      <c r="F295" s="37">
        <v>100</v>
      </c>
      <c r="G295" s="35">
        <v>70</v>
      </c>
      <c r="H295" s="38">
        <v>32</v>
      </c>
      <c r="I295" s="38" t="s">
        <v>1467</v>
      </c>
      <c r="J295" s="34">
        <f>IFERROR(_xlfn.XLOOKUP(I295,Index!$A:$A,Index!$B:$B),"")</f>
        <v>1319</v>
      </c>
      <c r="L295" s="238"/>
    </row>
    <row r="296" spans="1:12" x14ac:dyDescent="0.2">
      <c r="A296" s="26"/>
      <c r="B296" s="26"/>
      <c r="C296" s="30"/>
      <c r="D296" s="35" t="s">
        <v>53</v>
      </c>
      <c r="E296" s="82" t="s">
        <v>1170</v>
      </c>
      <c r="F296" s="37">
        <v>100</v>
      </c>
      <c r="G296" s="35">
        <v>70</v>
      </c>
      <c r="H296" s="38">
        <v>32</v>
      </c>
      <c r="I296" s="38" t="s">
        <v>1468</v>
      </c>
      <c r="J296" s="34">
        <f>IFERROR(_xlfn.XLOOKUP(I296,Index!$A:$A,Index!$B:$B),"")</f>
        <v>1505</v>
      </c>
      <c r="L296" s="238"/>
    </row>
    <row r="297" spans="1:12" x14ac:dyDescent="0.2">
      <c r="A297" s="26"/>
      <c r="B297" s="26"/>
      <c r="C297" s="30"/>
      <c r="D297" s="35" t="s">
        <v>55</v>
      </c>
      <c r="E297" s="82" t="s">
        <v>1170</v>
      </c>
      <c r="F297" s="37">
        <v>100</v>
      </c>
      <c r="G297" s="35">
        <v>70</v>
      </c>
      <c r="H297" s="38">
        <v>32</v>
      </c>
      <c r="I297" s="38" t="s">
        <v>1469</v>
      </c>
      <c r="J297" s="34">
        <f>IFERROR(_xlfn.XLOOKUP(I297,Index!$A:$A,Index!$B:$B),"")</f>
        <v>1384</v>
      </c>
      <c r="L297" s="238"/>
    </row>
    <row r="298" spans="1:12" x14ac:dyDescent="0.2">
      <c r="A298" s="26"/>
      <c r="B298" s="26"/>
      <c r="C298" s="30"/>
      <c r="D298" s="35" t="s">
        <v>241</v>
      </c>
      <c r="E298" s="82" t="s">
        <v>1174</v>
      </c>
      <c r="F298" s="37">
        <v>125</v>
      </c>
      <c r="G298" s="35">
        <v>108</v>
      </c>
      <c r="H298" s="38">
        <v>49</v>
      </c>
      <c r="I298" s="38" t="s">
        <v>1470</v>
      </c>
      <c r="J298" s="34">
        <f>IFERROR(_xlfn.XLOOKUP(I298,Index!$A:$A,Index!$B:$B),"")</f>
        <v>1771</v>
      </c>
      <c r="L298" s="238"/>
    </row>
    <row r="299" spans="1:12" x14ac:dyDescent="0.2">
      <c r="A299" s="26"/>
      <c r="B299" s="26"/>
      <c r="C299" s="30"/>
      <c r="D299" s="35" t="s">
        <v>53</v>
      </c>
      <c r="E299" s="82" t="s">
        <v>1174</v>
      </c>
      <c r="F299" s="37">
        <v>125</v>
      </c>
      <c r="G299" s="35">
        <v>108</v>
      </c>
      <c r="H299" s="38">
        <v>49</v>
      </c>
      <c r="I299" s="38" t="s">
        <v>1471</v>
      </c>
      <c r="J299" s="34">
        <f>IFERROR(_xlfn.XLOOKUP(I299,Index!$A:$A,Index!$B:$B),"")</f>
        <v>1859</v>
      </c>
      <c r="L299" s="238"/>
    </row>
    <row r="300" spans="1:12" x14ac:dyDescent="0.2">
      <c r="A300" s="26"/>
      <c r="B300" s="26"/>
      <c r="C300" s="30"/>
      <c r="D300" s="35" t="s">
        <v>55</v>
      </c>
      <c r="E300" s="82" t="s">
        <v>1174</v>
      </c>
      <c r="F300" s="37">
        <v>125</v>
      </c>
      <c r="G300" s="35">
        <v>108</v>
      </c>
      <c r="H300" s="38">
        <v>49</v>
      </c>
      <c r="I300" s="38" t="s">
        <v>1472</v>
      </c>
      <c r="J300" s="34">
        <f>IFERROR(_xlfn.XLOOKUP(I300,Index!$A:$A,Index!$B:$B),"")</f>
        <v>1859</v>
      </c>
      <c r="L300" s="238"/>
    </row>
    <row r="301" spans="1:12" x14ac:dyDescent="0.2">
      <c r="A301" s="26"/>
      <c r="B301" s="26"/>
      <c r="C301" s="30"/>
      <c r="D301" s="35" t="s">
        <v>241</v>
      </c>
      <c r="E301" s="82" t="s">
        <v>1178</v>
      </c>
      <c r="F301" s="37">
        <v>150</v>
      </c>
      <c r="G301" s="35">
        <v>136</v>
      </c>
      <c r="H301" s="38">
        <v>62</v>
      </c>
      <c r="I301" s="38" t="s">
        <v>1473</v>
      </c>
      <c r="J301" s="34">
        <f>IFERROR(_xlfn.XLOOKUP(I301,Index!$A:$A,Index!$B:$B),"")</f>
        <v>2207</v>
      </c>
      <c r="L301" s="238"/>
    </row>
    <row r="302" spans="1:12" x14ac:dyDescent="0.2">
      <c r="A302" s="26"/>
      <c r="B302" s="26"/>
      <c r="C302" s="30"/>
      <c r="D302" s="35" t="s">
        <v>53</v>
      </c>
      <c r="E302" s="82" t="s">
        <v>1178</v>
      </c>
      <c r="F302" s="37">
        <v>150</v>
      </c>
      <c r="G302" s="35">
        <v>136</v>
      </c>
      <c r="H302" s="38">
        <v>62</v>
      </c>
      <c r="I302" s="38" t="s">
        <v>1474</v>
      </c>
      <c r="J302" s="34">
        <f>IFERROR(_xlfn.XLOOKUP(I302,Index!$A:$A,Index!$B:$B),"")</f>
        <v>2317</v>
      </c>
      <c r="L302" s="238"/>
    </row>
    <row r="303" spans="1:12" x14ac:dyDescent="0.2">
      <c r="A303" s="26"/>
      <c r="B303" s="26"/>
      <c r="C303" s="30"/>
      <c r="D303" s="35" t="s">
        <v>55</v>
      </c>
      <c r="E303" s="82" t="s">
        <v>1178</v>
      </c>
      <c r="F303" s="37">
        <v>150</v>
      </c>
      <c r="G303" s="35">
        <v>136</v>
      </c>
      <c r="H303" s="38">
        <v>62</v>
      </c>
      <c r="I303" s="38" t="s">
        <v>1475</v>
      </c>
      <c r="J303" s="34">
        <f>IFERROR(_xlfn.XLOOKUP(I303,Index!$A:$A,Index!$B:$B),"")</f>
        <v>2317</v>
      </c>
      <c r="L303" s="238"/>
    </row>
    <row r="304" spans="1:12" x14ac:dyDescent="0.2">
      <c r="A304" s="26"/>
      <c r="B304" s="26"/>
      <c r="C304" s="30"/>
      <c r="D304" s="35" t="s">
        <v>241</v>
      </c>
      <c r="E304" s="82" t="s">
        <v>1182</v>
      </c>
      <c r="F304" s="37">
        <v>200</v>
      </c>
      <c r="G304" s="35">
        <v>218</v>
      </c>
      <c r="H304" s="38">
        <v>99</v>
      </c>
      <c r="I304" s="38" t="s">
        <v>1476</v>
      </c>
      <c r="J304" s="34">
        <f>IFERROR(_xlfn.XLOOKUP(I304,Index!$A:$A,Index!$B:$B),"")</f>
        <v>3569</v>
      </c>
      <c r="L304" s="238"/>
    </row>
    <row r="305" spans="1:12" x14ac:dyDescent="0.2">
      <c r="A305" s="26"/>
      <c r="B305" s="26"/>
      <c r="C305" s="30"/>
      <c r="D305" s="35" t="s">
        <v>53</v>
      </c>
      <c r="E305" s="82" t="s">
        <v>1182</v>
      </c>
      <c r="F305" s="37">
        <v>200</v>
      </c>
      <c r="G305" s="35">
        <v>218</v>
      </c>
      <c r="H305" s="38">
        <v>99</v>
      </c>
      <c r="I305" s="38" t="s">
        <v>1477</v>
      </c>
      <c r="J305" s="34">
        <f>IFERROR(_xlfn.XLOOKUP(I305,Index!$A:$A,Index!$B:$B),"")</f>
        <v>3747</v>
      </c>
      <c r="L305" s="238"/>
    </row>
    <row r="306" spans="1:12" x14ac:dyDescent="0.2">
      <c r="A306" s="26"/>
      <c r="B306" s="26"/>
      <c r="C306" s="30"/>
      <c r="D306" s="35" t="s">
        <v>55</v>
      </c>
      <c r="E306" s="82" t="s">
        <v>1182</v>
      </c>
      <c r="F306" s="37">
        <v>200</v>
      </c>
      <c r="G306" s="35">
        <v>218</v>
      </c>
      <c r="H306" s="38">
        <v>99</v>
      </c>
      <c r="I306" s="38" t="s">
        <v>5643</v>
      </c>
      <c r="J306" s="34">
        <f>IFERROR(_xlfn.XLOOKUP(I306,Index!$A:$A,Index!$B:$B),"")</f>
        <v>3747</v>
      </c>
      <c r="L306" s="238"/>
    </row>
    <row r="307" spans="1:12" x14ac:dyDescent="0.2">
      <c r="A307" s="26"/>
      <c r="B307" s="26"/>
      <c r="C307" s="30"/>
      <c r="D307" s="35" t="s">
        <v>241</v>
      </c>
      <c r="E307" s="82" t="s">
        <v>1186</v>
      </c>
      <c r="F307" s="37">
        <v>250</v>
      </c>
      <c r="G307" s="35">
        <v>396</v>
      </c>
      <c r="H307" s="38">
        <v>180</v>
      </c>
      <c r="I307" s="38" t="s">
        <v>1478</v>
      </c>
      <c r="J307" s="34">
        <f>IFERROR(_xlfn.XLOOKUP(I307,Index!$A:$A,Index!$B:$B),"")</f>
        <v>6365</v>
      </c>
      <c r="L307" s="238"/>
    </row>
    <row r="308" spans="1:12" x14ac:dyDescent="0.2">
      <c r="A308" s="26"/>
      <c r="B308" s="26"/>
      <c r="C308" s="30"/>
      <c r="D308" s="35" t="s">
        <v>53</v>
      </c>
      <c r="E308" s="82" t="s">
        <v>1186</v>
      </c>
      <c r="F308" s="37">
        <v>250</v>
      </c>
      <c r="G308" s="35">
        <v>396</v>
      </c>
      <c r="H308" s="38">
        <v>180</v>
      </c>
      <c r="I308" s="38" t="s">
        <v>5644</v>
      </c>
      <c r="J308" s="34">
        <f>IFERROR(_xlfn.XLOOKUP(I308,Index!$A:$A,Index!$B:$B),"")</f>
        <v>6683</v>
      </c>
      <c r="L308" s="238"/>
    </row>
    <row r="309" spans="1:12" x14ac:dyDescent="0.2">
      <c r="A309" s="26"/>
      <c r="B309" s="26"/>
      <c r="C309" s="30"/>
      <c r="D309" s="35" t="s">
        <v>55</v>
      </c>
      <c r="E309" s="82" t="s">
        <v>1186</v>
      </c>
      <c r="F309" s="37">
        <v>250</v>
      </c>
      <c r="G309" s="35">
        <v>396</v>
      </c>
      <c r="H309" s="38">
        <v>180</v>
      </c>
      <c r="I309" s="38" t="s">
        <v>1479</v>
      </c>
      <c r="J309" s="34">
        <f>IFERROR(_xlfn.XLOOKUP(I309,Index!$A:$A,Index!$B:$B),"")</f>
        <v>6683</v>
      </c>
      <c r="L309" s="238"/>
    </row>
    <row r="310" spans="1:12" x14ac:dyDescent="0.2">
      <c r="A310" s="26"/>
      <c r="B310" s="26"/>
      <c r="C310" s="30"/>
      <c r="D310" s="35" t="s">
        <v>241</v>
      </c>
      <c r="E310" s="82" t="s">
        <v>1190</v>
      </c>
      <c r="F310" s="37">
        <v>300</v>
      </c>
      <c r="G310" s="35">
        <v>720</v>
      </c>
      <c r="H310" s="38">
        <v>327</v>
      </c>
      <c r="I310" s="38" t="s">
        <v>1480</v>
      </c>
      <c r="J310" s="34">
        <f>IFERROR(_xlfn.XLOOKUP(I310,Index!$A:$A,Index!$B:$B),"")</f>
        <v>11032</v>
      </c>
      <c r="L310" s="238"/>
    </row>
    <row r="311" spans="1:12" x14ac:dyDescent="0.2">
      <c r="A311" s="26"/>
      <c r="B311" s="26"/>
      <c r="C311" s="30"/>
      <c r="D311" s="35" t="s">
        <v>53</v>
      </c>
      <c r="E311" s="82" t="s">
        <v>1190</v>
      </c>
      <c r="F311" s="37">
        <v>300</v>
      </c>
      <c r="G311" s="35">
        <v>720</v>
      </c>
      <c r="H311" s="38">
        <v>327</v>
      </c>
      <c r="I311" s="38" t="s">
        <v>5542</v>
      </c>
      <c r="J311" s="46">
        <f>J310+441</f>
        <v>11473</v>
      </c>
      <c r="L311" s="238"/>
    </row>
    <row r="312" spans="1:12" x14ac:dyDescent="0.2">
      <c r="A312" s="26"/>
      <c r="B312" s="26"/>
      <c r="C312" s="30"/>
      <c r="D312" s="35" t="s">
        <v>55</v>
      </c>
      <c r="E312" s="82" t="s">
        <v>1190</v>
      </c>
      <c r="F312" s="37">
        <v>300</v>
      </c>
      <c r="G312" s="35">
        <v>720</v>
      </c>
      <c r="H312" s="38">
        <v>327</v>
      </c>
      <c r="I312" s="38" t="s">
        <v>5645</v>
      </c>
      <c r="J312" s="34">
        <f>IFERROR(_xlfn.XLOOKUP(I312,Index!$A:$A,Index!$B:$B),"")</f>
        <v>11583</v>
      </c>
      <c r="L312" s="238"/>
    </row>
    <row r="313" spans="1:12" x14ac:dyDescent="0.2">
      <c r="A313" s="26"/>
      <c r="B313" s="26"/>
      <c r="C313" s="30"/>
      <c r="D313" s="35" t="s">
        <v>241</v>
      </c>
      <c r="E313" s="82" t="s">
        <v>1192</v>
      </c>
      <c r="F313" s="37">
        <v>350</v>
      </c>
      <c r="G313" s="35">
        <v>990</v>
      </c>
      <c r="H313" s="38">
        <v>449</v>
      </c>
      <c r="I313" s="38" t="s">
        <v>1481</v>
      </c>
      <c r="J313" s="34">
        <f>IFERROR(_xlfn.XLOOKUP(I313,Index!$A:$A,Index!$B:$B),"")</f>
        <v>16138</v>
      </c>
      <c r="L313" s="238"/>
    </row>
    <row r="314" spans="1:12" x14ac:dyDescent="0.2">
      <c r="A314" s="26"/>
      <c r="B314" s="26"/>
      <c r="C314" s="30"/>
      <c r="D314" s="35" t="s">
        <v>53</v>
      </c>
      <c r="E314" s="82" t="s">
        <v>1192</v>
      </c>
      <c r="F314" s="37">
        <v>350</v>
      </c>
      <c r="G314" s="35">
        <v>990</v>
      </c>
      <c r="H314" s="38">
        <v>449</v>
      </c>
      <c r="I314" s="38" t="s">
        <v>5542</v>
      </c>
      <c r="J314" s="46">
        <f>J313+645</f>
        <v>16783</v>
      </c>
      <c r="L314" s="238"/>
    </row>
    <row r="315" spans="1:12" x14ac:dyDescent="0.2">
      <c r="A315" s="27"/>
      <c r="B315" s="27"/>
      <c r="C315" s="31"/>
      <c r="D315" s="35" t="s">
        <v>55</v>
      </c>
      <c r="E315" s="82" t="s">
        <v>1192</v>
      </c>
      <c r="F315" s="37">
        <v>350</v>
      </c>
      <c r="G315" s="35">
        <v>990</v>
      </c>
      <c r="H315" s="38">
        <v>449</v>
      </c>
      <c r="I315" s="38" t="s">
        <v>5542</v>
      </c>
      <c r="J315" s="46">
        <f>J314</f>
        <v>16783</v>
      </c>
      <c r="L315" s="238"/>
    </row>
    <row r="316" spans="1:12" x14ac:dyDescent="0.2">
      <c r="A316" s="214" t="s">
        <v>1482</v>
      </c>
      <c r="B316" s="12"/>
      <c r="C316" s="4"/>
      <c r="D316" s="4"/>
      <c r="E316" s="73"/>
      <c r="F316" s="83"/>
      <c r="G316" s="4"/>
      <c r="H316" s="19"/>
      <c r="I316" s="19"/>
      <c r="J316" s="84"/>
      <c r="L316" s="238"/>
    </row>
    <row r="317" spans="1:12" x14ac:dyDescent="0.2">
      <c r="A317" s="12"/>
      <c r="B317" s="12"/>
      <c r="C317" s="4"/>
      <c r="D317" s="4"/>
      <c r="E317" s="73"/>
      <c r="F317" s="83"/>
      <c r="G317" s="4"/>
      <c r="H317" s="19"/>
      <c r="I317" s="19"/>
      <c r="J317" s="84"/>
      <c r="L317" s="238"/>
    </row>
    <row r="318" spans="1:12" ht="15.75" x14ac:dyDescent="0.2">
      <c r="A318" s="71" t="s">
        <v>1483</v>
      </c>
      <c r="B318" s="71" t="s">
        <v>468</v>
      </c>
      <c r="C318" s="72"/>
      <c r="D318" s="73"/>
      <c r="E318" s="74"/>
      <c r="F318" s="114"/>
      <c r="G318" s="115"/>
      <c r="H318" s="77"/>
      <c r="I318" s="77"/>
      <c r="J318" s="78"/>
      <c r="L318" s="238"/>
    </row>
    <row r="319" spans="1:12" ht="15.75" x14ac:dyDescent="0.2">
      <c r="A319" s="48" t="s">
        <v>1484</v>
      </c>
      <c r="B319" s="11"/>
      <c r="C319" s="4"/>
      <c r="D319" s="4"/>
      <c r="E319" s="5"/>
      <c r="F319" s="110"/>
      <c r="G319" s="4"/>
      <c r="H319" s="19"/>
      <c r="I319" s="19"/>
      <c r="J319" s="20"/>
      <c r="L319" s="238"/>
    </row>
    <row r="320" spans="1:12" ht="24" x14ac:dyDescent="0.2">
      <c r="A320" s="25" t="s">
        <v>35</v>
      </c>
      <c r="B320" s="28" t="s">
        <v>36</v>
      </c>
      <c r="C320" s="333" t="s">
        <v>37</v>
      </c>
      <c r="D320" s="333"/>
      <c r="E320" s="335" t="s">
        <v>38</v>
      </c>
      <c r="F320" s="335"/>
      <c r="G320" s="335" t="s">
        <v>39</v>
      </c>
      <c r="H320" s="335"/>
      <c r="I320" s="42" t="s">
        <v>40</v>
      </c>
      <c r="J320" s="43" t="s">
        <v>41</v>
      </c>
      <c r="L320" s="238"/>
    </row>
    <row r="321" spans="1:12" x14ac:dyDescent="0.2">
      <c r="A321" s="32"/>
      <c r="B321" s="32"/>
      <c r="C321" s="33" t="s">
        <v>42</v>
      </c>
      <c r="D321" s="33" t="s">
        <v>43</v>
      </c>
      <c r="E321" s="33" t="s">
        <v>44</v>
      </c>
      <c r="F321" s="33" t="s">
        <v>45</v>
      </c>
      <c r="G321" s="33" t="s">
        <v>46</v>
      </c>
      <c r="H321" s="33" t="s">
        <v>47</v>
      </c>
      <c r="I321" s="33"/>
      <c r="J321" s="44"/>
      <c r="L321" s="238"/>
    </row>
    <row r="322" spans="1:12" x14ac:dyDescent="0.2">
      <c r="A322" s="26" t="s">
        <v>1456</v>
      </c>
      <c r="B322" s="26" t="s">
        <v>1367</v>
      </c>
      <c r="C322" s="30" t="s">
        <v>50</v>
      </c>
      <c r="D322" s="35" t="s">
        <v>176</v>
      </c>
      <c r="E322" s="70">
        <v>2</v>
      </c>
      <c r="F322" s="38">
        <v>50</v>
      </c>
      <c r="G322" s="38">
        <v>35</v>
      </c>
      <c r="H322" s="38">
        <v>16</v>
      </c>
      <c r="I322" s="38" t="s">
        <v>1485</v>
      </c>
      <c r="J322" s="34">
        <f>IFERROR(_xlfn.XLOOKUP(I322,Index!$A:$A,Index!$B:$B),"")</f>
        <v>787</v>
      </c>
      <c r="L322" s="238"/>
    </row>
    <row r="323" spans="1:12" x14ac:dyDescent="0.2">
      <c r="A323" s="26"/>
      <c r="B323" s="26"/>
      <c r="C323" s="30"/>
      <c r="D323" s="35" t="s">
        <v>176</v>
      </c>
      <c r="E323" s="64">
        <v>2.5</v>
      </c>
      <c r="F323" s="116">
        <v>65</v>
      </c>
      <c r="G323" s="35">
        <v>32</v>
      </c>
      <c r="H323" s="40">
        <v>15</v>
      </c>
      <c r="I323" s="38" t="s">
        <v>1486</v>
      </c>
      <c r="J323" s="34">
        <f>IFERROR(_xlfn.XLOOKUP(I323,Index!$A:$A,Index!$B:$B),"")</f>
        <v>812.5</v>
      </c>
      <c r="L323" s="238"/>
    </row>
    <row r="324" spans="1:12" x14ac:dyDescent="0.2">
      <c r="A324" s="26"/>
      <c r="B324" s="26"/>
      <c r="C324" s="30"/>
      <c r="D324" s="35" t="s">
        <v>176</v>
      </c>
      <c r="E324" s="64">
        <v>3</v>
      </c>
      <c r="F324" s="116">
        <v>80</v>
      </c>
      <c r="G324" s="35">
        <v>40</v>
      </c>
      <c r="H324" s="40">
        <v>18</v>
      </c>
      <c r="I324" s="38" t="s">
        <v>1487</v>
      </c>
      <c r="J324" s="34">
        <f>IFERROR(_xlfn.XLOOKUP(I324,Index!$A:$A,Index!$B:$B),"")</f>
        <v>900.5</v>
      </c>
      <c r="L324" s="238"/>
    </row>
    <row r="325" spans="1:12" x14ac:dyDescent="0.2">
      <c r="A325" s="26"/>
      <c r="B325" s="26"/>
      <c r="C325" s="30"/>
      <c r="D325" s="35" t="s">
        <v>176</v>
      </c>
      <c r="E325" s="64">
        <v>4</v>
      </c>
      <c r="F325" s="116">
        <v>100</v>
      </c>
      <c r="G325" s="35">
        <v>70</v>
      </c>
      <c r="H325" s="40">
        <v>32</v>
      </c>
      <c r="I325" s="38" t="s">
        <v>1488</v>
      </c>
      <c r="J325" s="34">
        <f>IFERROR(_xlfn.XLOOKUP(I325,Index!$A:$A,Index!$B:$B),"")</f>
        <v>1258</v>
      </c>
      <c r="L325" s="238"/>
    </row>
    <row r="326" spans="1:12" x14ac:dyDescent="0.2">
      <c r="A326" s="26"/>
      <c r="B326" s="26"/>
      <c r="C326" s="30"/>
      <c r="D326" s="35" t="s">
        <v>241</v>
      </c>
      <c r="E326" s="64">
        <v>5</v>
      </c>
      <c r="F326" s="116">
        <v>125</v>
      </c>
      <c r="G326" s="35">
        <v>108</v>
      </c>
      <c r="H326" s="40">
        <v>49</v>
      </c>
      <c r="I326" s="38" t="s">
        <v>1489</v>
      </c>
      <c r="J326" s="34">
        <f>IFERROR(_xlfn.XLOOKUP(I326,Index!$A:$A,Index!$B:$B),"")</f>
        <v>1690</v>
      </c>
      <c r="L326" s="238"/>
    </row>
    <row r="327" spans="1:12" x14ac:dyDescent="0.2">
      <c r="A327" s="26"/>
      <c r="B327" s="26"/>
      <c r="C327" s="30"/>
      <c r="D327" s="35" t="s">
        <v>241</v>
      </c>
      <c r="E327" s="64">
        <v>6</v>
      </c>
      <c r="F327" s="116">
        <v>150</v>
      </c>
      <c r="G327" s="35">
        <v>136</v>
      </c>
      <c r="H327" s="40">
        <v>62</v>
      </c>
      <c r="I327" s="38" t="s">
        <v>1490</v>
      </c>
      <c r="J327" s="34">
        <f>IFERROR(_xlfn.XLOOKUP(I327,Index!$A:$A,Index!$B:$B),"")</f>
        <v>2106</v>
      </c>
      <c r="L327" s="238"/>
    </row>
    <row r="328" spans="1:12" x14ac:dyDescent="0.2">
      <c r="A328" s="26"/>
      <c r="B328" s="26"/>
      <c r="C328" s="30"/>
      <c r="D328" s="35" t="s">
        <v>241</v>
      </c>
      <c r="E328" s="64">
        <v>8</v>
      </c>
      <c r="F328" s="116">
        <v>200</v>
      </c>
      <c r="G328" s="35">
        <v>218</v>
      </c>
      <c r="H328" s="40">
        <v>99</v>
      </c>
      <c r="I328" s="38" t="s">
        <v>1491</v>
      </c>
      <c r="J328" s="34">
        <f>IFERROR(_xlfn.XLOOKUP(I328,Index!$A:$A,Index!$B:$B),"")</f>
        <v>3407</v>
      </c>
      <c r="L328" s="238"/>
    </row>
    <row r="329" spans="1:12" x14ac:dyDescent="0.2">
      <c r="A329" s="26"/>
      <c r="B329" s="26"/>
      <c r="C329" s="30"/>
      <c r="D329" s="35" t="s">
        <v>241</v>
      </c>
      <c r="E329" s="64">
        <v>10</v>
      </c>
      <c r="F329" s="116">
        <v>250</v>
      </c>
      <c r="G329" s="35">
        <v>396</v>
      </c>
      <c r="H329" s="40">
        <v>180</v>
      </c>
      <c r="I329" s="38" t="s">
        <v>1492</v>
      </c>
      <c r="J329" s="34">
        <f>IFERROR(_xlfn.XLOOKUP(I329,Index!$A:$A,Index!$B:$B),"")</f>
        <v>6074</v>
      </c>
      <c r="L329" s="238"/>
    </row>
    <row r="330" spans="1:12" x14ac:dyDescent="0.2">
      <c r="A330" s="27"/>
      <c r="B330" s="27"/>
      <c r="C330" s="31"/>
      <c r="D330" s="35" t="s">
        <v>241</v>
      </c>
      <c r="E330" s="64">
        <v>12</v>
      </c>
      <c r="F330" s="116">
        <v>300</v>
      </c>
      <c r="G330" s="35">
        <v>720</v>
      </c>
      <c r="H330" s="40">
        <v>327</v>
      </c>
      <c r="I330" s="38" t="s">
        <v>1493</v>
      </c>
      <c r="J330" s="34">
        <f>IFERROR(_xlfn.XLOOKUP(I330,Index!$A:$A,Index!$B:$B),"")</f>
        <v>10528</v>
      </c>
      <c r="L330" s="238"/>
    </row>
    <row r="331" spans="1:12" x14ac:dyDescent="0.2">
      <c r="A331" s="12"/>
      <c r="B331" s="12"/>
      <c r="C331" s="4"/>
      <c r="D331" s="4"/>
      <c r="E331" s="73"/>
      <c r="F331" s="83"/>
      <c r="G331" s="4"/>
      <c r="H331" s="19"/>
      <c r="I331" s="19"/>
      <c r="J331" s="84"/>
      <c r="L331" s="238"/>
    </row>
    <row r="332" spans="1:12" ht="22.5" customHeight="1" x14ac:dyDescent="0.2">
      <c r="A332" s="71" t="s">
        <v>1494</v>
      </c>
      <c r="B332" s="231"/>
      <c r="C332" s="216"/>
      <c r="D332" s="49"/>
      <c r="E332" s="50"/>
      <c r="F332" s="51"/>
      <c r="G332" s="4"/>
      <c r="H332" s="19"/>
      <c r="I332" s="19"/>
      <c r="J332" s="84"/>
      <c r="L332" s="238"/>
    </row>
    <row r="333" spans="1:12" ht="15.75" x14ac:dyDescent="0.2">
      <c r="A333" s="48" t="s">
        <v>102</v>
      </c>
      <c r="B333" s="57"/>
      <c r="C333" s="58"/>
      <c r="D333" s="58"/>
      <c r="E333" s="59"/>
      <c r="F333" s="51"/>
      <c r="G333" s="4"/>
      <c r="H333" s="19"/>
      <c r="I333" s="19"/>
      <c r="J333" s="84"/>
      <c r="L333" s="238"/>
    </row>
    <row r="334" spans="1:12" x14ac:dyDescent="0.2">
      <c r="A334" s="25" t="s">
        <v>35</v>
      </c>
      <c r="B334" s="28" t="s">
        <v>103</v>
      </c>
      <c r="C334" s="335" t="s">
        <v>38</v>
      </c>
      <c r="D334" s="336"/>
      <c r="E334" s="42" t="s">
        <v>40</v>
      </c>
      <c r="F334" s="43" t="s">
        <v>41</v>
      </c>
      <c r="L334" s="238"/>
    </row>
    <row r="335" spans="1:12" x14ac:dyDescent="0.2">
      <c r="A335" s="32"/>
      <c r="B335" s="32"/>
      <c r="C335" s="33" t="s">
        <v>44</v>
      </c>
      <c r="D335" s="33" t="s">
        <v>45</v>
      </c>
      <c r="E335" s="33"/>
      <c r="F335" s="44"/>
      <c r="L335" s="238"/>
    </row>
    <row r="336" spans="1:12" x14ac:dyDescent="0.2">
      <c r="A336" s="26" t="s">
        <v>1495</v>
      </c>
      <c r="B336" s="60" t="s">
        <v>1496</v>
      </c>
      <c r="C336" s="94" t="s">
        <v>1159</v>
      </c>
      <c r="D336" s="35">
        <v>50</v>
      </c>
      <c r="E336" s="35" t="s">
        <v>1497</v>
      </c>
      <c r="F336" s="34">
        <f>IFERROR(_xlfn.XLOOKUP(E336,Index!$A:$A,Index!$B:$B),"")</f>
        <v>11.25</v>
      </c>
      <c r="L336" s="238"/>
    </row>
    <row r="337" spans="1:12" x14ac:dyDescent="0.2">
      <c r="A337" s="26"/>
      <c r="B337" s="26"/>
      <c r="C337" s="94" t="s">
        <v>1460</v>
      </c>
      <c r="D337" s="35">
        <v>65</v>
      </c>
      <c r="E337" s="35" t="s">
        <v>1498</v>
      </c>
      <c r="F337" s="34">
        <f>IFERROR(_xlfn.XLOOKUP(E337,Index!$A:$A,Index!$B:$B),"")</f>
        <v>15.75</v>
      </c>
      <c r="L337" s="238"/>
    </row>
    <row r="338" spans="1:12" x14ac:dyDescent="0.2">
      <c r="A338" s="26"/>
      <c r="B338" s="26"/>
      <c r="C338" s="94" t="s">
        <v>1166</v>
      </c>
      <c r="D338" s="35">
        <v>80</v>
      </c>
      <c r="E338" s="35" t="s">
        <v>1499</v>
      </c>
      <c r="F338" s="34">
        <f>IFERROR(_xlfn.XLOOKUP(E338,Index!$A:$A,Index!$B:$B),"")</f>
        <v>12.5</v>
      </c>
      <c r="L338" s="238"/>
    </row>
    <row r="339" spans="1:12" x14ac:dyDescent="0.2">
      <c r="A339" s="26"/>
      <c r="B339" s="26"/>
      <c r="C339" s="94" t="s">
        <v>1170</v>
      </c>
      <c r="D339" s="35">
        <v>100</v>
      </c>
      <c r="E339" s="35" t="s">
        <v>1500</v>
      </c>
      <c r="F339" s="34">
        <f>IFERROR(_xlfn.XLOOKUP(E339,Index!$A:$A,Index!$B:$B),"")</f>
        <v>15</v>
      </c>
      <c r="L339" s="238"/>
    </row>
    <row r="340" spans="1:12" x14ac:dyDescent="0.2">
      <c r="A340" s="26"/>
      <c r="B340" s="26"/>
      <c r="C340" s="94" t="s">
        <v>1174</v>
      </c>
      <c r="D340" s="35">
        <v>125</v>
      </c>
      <c r="E340" s="35" t="s">
        <v>1501</v>
      </c>
      <c r="F340" s="34">
        <f>IFERROR(_xlfn.XLOOKUP(E340,Index!$A:$A,Index!$B:$B),"")</f>
        <v>18.75</v>
      </c>
      <c r="L340" s="238"/>
    </row>
    <row r="341" spans="1:12" x14ac:dyDescent="0.2">
      <c r="A341" s="26"/>
      <c r="B341" s="26"/>
      <c r="C341" s="94" t="s">
        <v>1178</v>
      </c>
      <c r="D341" s="35">
        <v>150</v>
      </c>
      <c r="E341" s="35" t="s">
        <v>1502</v>
      </c>
      <c r="F341" s="34">
        <f>IFERROR(_xlfn.XLOOKUP(E341,Index!$A:$A,Index!$B:$B),"")</f>
        <v>18.75</v>
      </c>
      <c r="L341" s="238"/>
    </row>
    <row r="342" spans="1:12" x14ac:dyDescent="0.2">
      <c r="A342" s="26"/>
      <c r="B342" s="26"/>
      <c r="C342" s="94" t="s">
        <v>1182</v>
      </c>
      <c r="D342" s="35">
        <v>200</v>
      </c>
      <c r="E342" s="35" t="s">
        <v>1503</v>
      </c>
      <c r="F342" s="34">
        <f>IFERROR(_xlfn.XLOOKUP(E342,Index!$A:$A,Index!$B:$B),"")</f>
        <v>18.75</v>
      </c>
      <c r="L342" s="238"/>
    </row>
    <row r="343" spans="1:12" x14ac:dyDescent="0.2">
      <c r="A343" s="26"/>
      <c r="B343" s="26"/>
      <c r="C343" s="94" t="s">
        <v>1186</v>
      </c>
      <c r="D343" s="35">
        <v>250</v>
      </c>
      <c r="E343" s="35" t="s">
        <v>1504</v>
      </c>
      <c r="F343" s="34">
        <f>IFERROR(_xlfn.XLOOKUP(E343,Index!$A:$A,Index!$B:$B),"")</f>
        <v>26.75</v>
      </c>
      <c r="L343" s="238"/>
    </row>
    <row r="344" spans="1:12" x14ac:dyDescent="0.2">
      <c r="A344" s="26"/>
      <c r="B344" s="26"/>
      <c r="C344" s="94" t="s">
        <v>1190</v>
      </c>
      <c r="D344" s="35">
        <v>300</v>
      </c>
      <c r="E344" s="35" t="s">
        <v>1505</v>
      </c>
      <c r="F344" s="34">
        <f>IFERROR(_xlfn.XLOOKUP(E344,Index!$A:$A,Index!$B:$B),"")</f>
        <v>26.75</v>
      </c>
      <c r="L344" s="238"/>
    </row>
    <row r="345" spans="1:12" x14ac:dyDescent="0.2">
      <c r="A345" s="26"/>
      <c r="B345" s="26"/>
      <c r="C345" s="94" t="s">
        <v>1192</v>
      </c>
      <c r="D345" s="35">
        <v>350</v>
      </c>
      <c r="E345" s="35" t="s">
        <v>1506</v>
      </c>
      <c r="F345" s="34">
        <f>IFERROR(_xlfn.XLOOKUP(E345,Index!$A:$A,Index!$B:$B),"")</f>
        <v>26.75</v>
      </c>
      <c r="L345" s="238"/>
    </row>
    <row r="346" spans="1:12" x14ac:dyDescent="0.2">
      <c r="A346" s="26"/>
      <c r="B346" s="60" t="s">
        <v>1422</v>
      </c>
      <c r="C346" s="94" t="s">
        <v>1159</v>
      </c>
      <c r="D346" s="35">
        <v>50</v>
      </c>
      <c r="E346" s="35" t="s">
        <v>1507</v>
      </c>
      <c r="F346" s="34">
        <f>IFERROR(_xlfn.XLOOKUP(E346,Index!$A:$A,Index!$B:$B),"")</f>
        <v>457.5</v>
      </c>
      <c r="L346" s="238"/>
    </row>
    <row r="347" spans="1:12" x14ac:dyDescent="0.2">
      <c r="A347" s="26"/>
      <c r="B347" s="26"/>
      <c r="C347" s="94" t="s">
        <v>1460</v>
      </c>
      <c r="D347" s="35">
        <v>65</v>
      </c>
      <c r="E347" s="35" t="s">
        <v>1508</v>
      </c>
      <c r="F347" s="34">
        <f>IFERROR(_xlfn.XLOOKUP(E347,Index!$A:$A,Index!$B:$B),"")</f>
        <v>582</v>
      </c>
      <c r="L347" s="238"/>
    </row>
    <row r="348" spans="1:12" x14ac:dyDescent="0.2">
      <c r="A348" s="26"/>
      <c r="B348" s="26"/>
      <c r="C348" s="94" t="s">
        <v>1166</v>
      </c>
      <c r="D348" s="35">
        <v>80</v>
      </c>
      <c r="E348" s="35" t="s">
        <v>1509</v>
      </c>
      <c r="F348" s="34">
        <f>IFERROR(_xlfn.XLOOKUP(E348,Index!$A:$A,Index!$B:$B),"")</f>
        <v>582</v>
      </c>
      <c r="L348" s="238"/>
    </row>
    <row r="349" spans="1:12" x14ac:dyDescent="0.2">
      <c r="A349" s="26"/>
      <c r="B349" s="26"/>
      <c r="C349" s="94" t="s">
        <v>1170</v>
      </c>
      <c r="D349" s="35">
        <v>100</v>
      </c>
      <c r="E349" s="35" t="s">
        <v>1510</v>
      </c>
      <c r="F349" s="34">
        <f>IFERROR(_xlfn.XLOOKUP(E349,Index!$A:$A,Index!$B:$B),"")</f>
        <v>747.5</v>
      </c>
      <c r="L349" s="238"/>
    </row>
    <row r="350" spans="1:12" x14ac:dyDescent="0.2">
      <c r="A350" s="26"/>
      <c r="B350" s="60" t="s">
        <v>1511</v>
      </c>
      <c r="C350" s="94" t="s">
        <v>1174</v>
      </c>
      <c r="D350" s="35">
        <v>125</v>
      </c>
      <c r="E350" s="35" t="s">
        <v>1512</v>
      </c>
      <c r="F350" s="34">
        <f>IFERROR(_xlfn.XLOOKUP(E350,Index!$A:$A,Index!$B:$B),"")</f>
        <v>1662</v>
      </c>
      <c r="L350" s="238"/>
    </row>
    <row r="351" spans="1:12" x14ac:dyDescent="0.2">
      <c r="A351" s="26"/>
      <c r="B351" s="26"/>
      <c r="C351" s="94" t="s">
        <v>1178</v>
      </c>
      <c r="D351" s="35">
        <v>150</v>
      </c>
      <c r="E351" s="35" t="s">
        <v>1513</v>
      </c>
      <c r="F351" s="34">
        <f>IFERROR(_xlfn.XLOOKUP(E351,Index!$A:$A,Index!$B:$B),"")</f>
        <v>1953</v>
      </c>
      <c r="L351" s="238"/>
    </row>
    <row r="352" spans="1:12" x14ac:dyDescent="0.2">
      <c r="A352" s="26"/>
      <c r="B352" s="26"/>
      <c r="C352" s="94" t="s">
        <v>1182</v>
      </c>
      <c r="D352" s="35">
        <v>200</v>
      </c>
      <c r="E352" s="35" t="s">
        <v>1514</v>
      </c>
      <c r="F352" s="34">
        <f>IFERROR(_xlfn.XLOOKUP(E352,Index!$A:$A,Index!$B:$B),"")</f>
        <v>2325</v>
      </c>
      <c r="L352" s="238"/>
    </row>
    <row r="353" spans="1:12" x14ac:dyDescent="0.2">
      <c r="A353" s="66"/>
      <c r="B353" s="66"/>
      <c r="C353" s="95" t="s">
        <v>1186</v>
      </c>
      <c r="D353" s="35">
        <v>250</v>
      </c>
      <c r="E353" s="35" t="s">
        <v>1515</v>
      </c>
      <c r="F353" s="34">
        <f>IFERROR(_xlfn.XLOOKUP(E353,Index!$A:$A,Index!$B:$B),"")</f>
        <v>2658</v>
      </c>
      <c r="L353" s="238"/>
    </row>
    <row r="354" spans="1:12" x14ac:dyDescent="0.2">
      <c r="A354" s="26"/>
      <c r="B354" s="26"/>
      <c r="C354" s="94" t="s">
        <v>1190</v>
      </c>
      <c r="D354" s="35">
        <v>300</v>
      </c>
      <c r="E354" s="35" t="s">
        <v>1516</v>
      </c>
      <c r="F354" s="34">
        <f>IFERROR(_xlfn.XLOOKUP(E354,Index!$A:$A,Index!$B:$B),"")</f>
        <v>3157</v>
      </c>
      <c r="L354" s="238"/>
    </row>
    <row r="355" spans="1:12" x14ac:dyDescent="0.2">
      <c r="A355" s="26"/>
      <c r="B355" s="26"/>
      <c r="C355" s="94" t="s">
        <v>1192</v>
      </c>
      <c r="D355" s="35">
        <v>350</v>
      </c>
      <c r="E355" s="35" t="s">
        <v>1517</v>
      </c>
      <c r="F355" s="34">
        <f>IFERROR(_xlfn.XLOOKUP(E355,Index!$A:$A,Index!$B:$B),"")</f>
        <v>4153</v>
      </c>
      <c r="L355" s="238"/>
    </row>
    <row r="356" spans="1:12" x14ac:dyDescent="0.2">
      <c r="A356" s="26"/>
      <c r="B356" s="60" t="s">
        <v>1429</v>
      </c>
      <c r="C356" s="94" t="s">
        <v>1159</v>
      </c>
      <c r="D356" s="35">
        <v>50</v>
      </c>
      <c r="E356" s="38" t="s">
        <v>5542</v>
      </c>
      <c r="F356" s="250">
        <f>F366</f>
        <v>541</v>
      </c>
      <c r="L356" s="238"/>
    </row>
    <row r="357" spans="1:12" x14ac:dyDescent="0.2">
      <c r="A357" s="26"/>
      <c r="B357" s="26"/>
      <c r="C357" s="94" t="s">
        <v>1460</v>
      </c>
      <c r="D357" s="35">
        <v>65</v>
      </c>
      <c r="E357" s="35" t="s">
        <v>1518</v>
      </c>
      <c r="F357" s="34">
        <f>IFERROR(_xlfn.XLOOKUP(E357,Index!$A:$A,Index!$B:$B),"")</f>
        <v>996.5</v>
      </c>
      <c r="L357" s="238"/>
    </row>
    <row r="358" spans="1:12" x14ac:dyDescent="0.2">
      <c r="A358" s="26"/>
      <c r="B358" s="26"/>
      <c r="C358" s="94" t="s">
        <v>1166</v>
      </c>
      <c r="D358" s="35">
        <v>80</v>
      </c>
      <c r="E358" s="35" t="s">
        <v>1519</v>
      </c>
      <c r="F358" s="34">
        <f>IFERROR(_xlfn.XLOOKUP(E358,Index!$A:$A,Index!$B:$B),"")</f>
        <v>996.5</v>
      </c>
      <c r="L358" s="238"/>
    </row>
    <row r="359" spans="1:12" x14ac:dyDescent="0.2">
      <c r="A359" s="26"/>
      <c r="B359" s="26"/>
      <c r="C359" s="94" t="s">
        <v>1170</v>
      </c>
      <c r="D359" s="35">
        <v>100</v>
      </c>
      <c r="E359" s="35" t="s">
        <v>1520</v>
      </c>
      <c r="F359" s="34">
        <f>IFERROR(_xlfn.XLOOKUP(E359,Index!$A:$A,Index!$B:$B),"")</f>
        <v>1080</v>
      </c>
      <c r="L359" s="238"/>
    </row>
    <row r="360" spans="1:12" x14ac:dyDescent="0.2">
      <c r="A360" s="26"/>
      <c r="B360" s="26"/>
      <c r="C360" s="94" t="s">
        <v>1174</v>
      </c>
      <c r="D360" s="35">
        <v>125</v>
      </c>
      <c r="E360" s="35" t="s">
        <v>1521</v>
      </c>
      <c r="F360" s="34">
        <f>IFERROR(_xlfn.XLOOKUP(E360,Index!$A:$A,Index!$B:$B),"")</f>
        <v>2492</v>
      </c>
      <c r="L360" s="238"/>
    </row>
    <row r="361" spans="1:12" x14ac:dyDescent="0.2">
      <c r="A361" s="26"/>
      <c r="B361" s="26"/>
      <c r="C361" s="94" t="s">
        <v>1178</v>
      </c>
      <c r="D361" s="35">
        <v>150</v>
      </c>
      <c r="E361" s="35" t="s">
        <v>1522</v>
      </c>
      <c r="F361" s="34">
        <f>IFERROR(_xlfn.XLOOKUP(E361,Index!$A:$A,Index!$B:$B),"")</f>
        <v>2658</v>
      </c>
      <c r="L361" s="238"/>
    </row>
    <row r="362" spans="1:12" x14ac:dyDescent="0.2">
      <c r="A362" s="26"/>
      <c r="B362" s="26"/>
      <c r="C362" s="94" t="s">
        <v>1182</v>
      </c>
      <c r="D362" s="35">
        <v>200</v>
      </c>
      <c r="E362" s="35" t="s">
        <v>1523</v>
      </c>
      <c r="F362" s="34">
        <f>IFERROR(_xlfn.XLOOKUP(E362,Index!$A:$A,Index!$B:$B),"")</f>
        <v>2908</v>
      </c>
      <c r="L362" s="238"/>
    </row>
    <row r="363" spans="1:12" x14ac:dyDescent="0.2">
      <c r="A363" s="26"/>
      <c r="B363" s="26"/>
      <c r="C363" s="95" t="s">
        <v>1186</v>
      </c>
      <c r="D363" s="35">
        <v>250</v>
      </c>
      <c r="E363" s="35" t="s">
        <v>1524</v>
      </c>
      <c r="F363" s="34">
        <f>IFERROR(_xlfn.XLOOKUP(E363,Index!$A:$A,Index!$B:$B),"")</f>
        <v>3239</v>
      </c>
      <c r="L363" s="238"/>
    </row>
    <row r="364" spans="1:12" x14ac:dyDescent="0.2">
      <c r="A364" s="26"/>
      <c r="B364" s="26"/>
      <c r="C364" s="94" t="s">
        <v>1190</v>
      </c>
      <c r="D364" s="35">
        <v>300</v>
      </c>
      <c r="E364" s="38" t="s">
        <v>5542</v>
      </c>
      <c r="F364" s="250">
        <f>F363+175</f>
        <v>3414</v>
      </c>
      <c r="L364" s="238"/>
    </row>
    <row r="365" spans="1:12" x14ac:dyDescent="0.2">
      <c r="A365" s="26"/>
      <c r="B365" s="26"/>
      <c r="C365" s="94" t="s">
        <v>1192</v>
      </c>
      <c r="D365" s="35">
        <v>350</v>
      </c>
      <c r="E365" s="38" t="s">
        <v>5542</v>
      </c>
      <c r="F365" s="250">
        <f>F364+435</f>
        <v>3849</v>
      </c>
      <c r="L365" s="238"/>
    </row>
    <row r="366" spans="1:12" x14ac:dyDescent="0.2">
      <c r="A366" s="26"/>
      <c r="B366" s="60" t="s">
        <v>1435</v>
      </c>
      <c r="C366" s="94" t="s">
        <v>1159</v>
      </c>
      <c r="D366" s="35">
        <v>50</v>
      </c>
      <c r="E366" s="35" t="s">
        <v>1605</v>
      </c>
      <c r="F366" s="34">
        <f>IFERROR(_xlfn.XLOOKUP(E366,Index!$A:$A,Index!$B:$B),"")</f>
        <v>541</v>
      </c>
      <c r="L366" s="238"/>
    </row>
    <row r="367" spans="1:12" x14ac:dyDescent="0.2">
      <c r="A367" s="26"/>
      <c r="B367" s="26"/>
      <c r="C367" s="94" t="s">
        <v>1460</v>
      </c>
      <c r="D367" s="35">
        <v>65</v>
      </c>
      <c r="E367" s="35" t="s">
        <v>1525</v>
      </c>
      <c r="F367" s="34">
        <f>IFERROR(_xlfn.XLOOKUP(E367,Index!$A:$A,Index!$B:$B),"")</f>
        <v>996.5</v>
      </c>
      <c r="L367" s="238"/>
    </row>
    <row r="368" spans="1:12" x14ac:dyDescent="0.2">
      <c r="A368" s="26"/>
      <c r="B368" s="26"/>
      <c r="C368" s="94" t="s">
        <v>1166</v>
      </c>
      <c r="D368" s="35">
        <v>80</v>
      </c>
      <c r="E368" s="35" t="s">
        <v>1526</v>
      </c>
      <c r="F368" s="34">
        <f>IFERROR(_xlfn.XLOOKUP(E368,Index!$A:$A,Index!$B:$B),"")</f>
        <v>996.5</v>
      </c>
      <c r="L368" s="238"/>
    </row>
    <row r="369" spans="1:12" x14ac:dyDescent="0.2">
      <c r="A369" s="26"/>
      <c r="B369" s="26"/>
      <c r="C369" s="94" t="s">
        <v>1170</v>
      </c>
      <c r="D369" s="35">
        <v>100</v>
      </c>
      <c r="E369" s="35" t="s">
        <v>1527</v>
      </c>
      <c r="F369" s="34">
        <f>IFERROR(_xlfn.XLOOKUP(E369,Index!$A:$A,Index!$B:$B),"")</f>
        <v>1080</v>
      </c>
      <c r="L369" s="238"/>
    </row>
    <row r="370" spans="1:12" x14ac:dyDescent="0.2">
      <c r="A370" s="26"/>
      <c r="B370" s="26"/>
      <c r="C370" s="94" t="s">
        <v>1174</v>
      </c>
      <c r="D370" s="35">
        <v>125</v>
      </c>
      <c r="E370" s="35" t="s">
        <v>1528</v>
      </c>
      <c r="F370" s="34">
        <f>IFERROR(_xlfn.XLOOKUP(E370,Index!$A:$A,Index!$B:$B),"")</f>
        <v>2492</v>
      </c>
      <c r="L370" s="238"/>
    </row>
    <row r="371" spans="1:12" x14ac:dyDescent="0.2">
      <c r="A371" s="26"/>
      <c r="B371" s="26"/>
      <c r="C371" s="94" t="s">
        <v>1178</v>
      </c>
      <c r="D371" s="35">
        <v>150</v>
      </c>
      <c r="E371" s="35" t="s">
        <v>1529</v>
      </c>
      <c r="F371" s="34">
        <f>IFERROR(_xlfn.XLOOKUP(E371,Index!$A:$A,Index!$B:$B),"")</f>
        <v>2658</v>
      </c>
      <c r="L371" s="238"/>
    </row>
    <row r="372" spans="1:12" x14ac:dyDescent="0.2">
      <c r="A372" s="26"/>
      <c r="B372" s="26"/>
      <c r="C372" s="94" t="s">
        <v>1182</v>
      </c>
      <c r="D372" s="35">
        <v>200</v>
      </c>
      <c r="E372" s="35" t="s">
        <v>1530</v>
      </c>
      <c r="F372" s="34">
        <f>IFERROR(_xlfn.XLOOKUP(E372,Index!$A:$A,Index!$B:$B),"")</f>
        <v>2908</v>
      </c>
      <c r="L372" s="238"/>
    </row>
    <row r="373" spans="1:12" x14ac:dyDescent="0.2">
      <c r="A373" s="26"/>
      <c r="B373" s="26"/>
      <c r="C373" s="95" t="s">
        <v>1186</v>
      </c>
      <c r="D373" s="35">
        <v>250</v>
      </c>
      <c r="E373" s="35" t="s">
        <v>2886</v>
      </c>
      <c r="F373" s="34">
        <f>IFERROR(_xlfn.XLOOKUP(E373,Index!$A:$A,Index!$B:$B),"")</f>
        <v>3239</v>
      </c>
      <c r="L373" s="238"/>
    </row>
    <row r="374" spans="1:12" x14ac:dyDescent="0.2">
      <c r="A374" s="26"/>
      <c r="B374" s="26"/>
      <c r="C374" s="94" t="s">
        <v>1190</v>
      </c>
      <c r="D374" s="35">
        <v>300</v>
      </c>
      <c r="E374" s="38" t="s">
        <v>5542</v>
      </c>
      <c r="F374" s="250">
        <f t="shared" ref="F374:F375" si="0">F364</f>
        <v>3414</v>
      </c>
      <c r="L374" s="238"/>
    </row>
    <row r="375" spans="1:12" x14ac:dyDescent="0.2">
      <c r="A375" s="26"/>
      <c r="B375" s="26"/>
      <c r="C375" s="94" t="s">
        <v>1192</v>
      </c>
      <c r="D375" s="35">
        <v>350</v>
      </c>
      <c r="E375" s="38" t="s">
        <v>5542</v>
      </c>
      <c r="F375" s="250">
        <f t="shared" si="0"/>
        <v>3849</v>
      </c>
      <c r="L375" s="238"/>
    </row>
    <row r="376" spans="1:12" x14ac:dyDescent="0.2">
      <c r="A376" s="26"/>
      <c r="B376" s="60" t="s">
        <v>1440</v>
      </c>
      <c r="C376" s="94" t="s">
        <v>1159</v>
      </c>
      <c r="D376" s="35">
        <v>50</v>
      </c>
      <c r="E376" s="35" t="s">
        <v>1531</v>
      </c>
      <c r="F376" s="34">
        <f>IFERROR(_xlfn.XLOOKUP(E376,Index!$A:$A,Index!$B:$B),"")</f>
        <v>541</v>
      </c>
      <c r="L376" s="238"/>
    </row>
    <row r="377" spans="1:12" x14ac:dyDescent="0.2">
      <c r="A377" s="26"/>
      <c r="B377" s="26"/>
      <c r="C377" s="94" t="s">
        <v>1460</v>
      </c>
      <c r="D377" s="35">
        <v>65</v>
      </c>
      <c r="E377" s="35" t="s">
        <v>1532</v>
      </c>
      <c r="F377" s="34">
        <f>IFERROR(_xlfn.XLOOKUP(E377,Index!$A:$A,Index!$B:$B),"")</f>
        <v>996.5</v>
      </c>
      <c r="L377" s="238"/>
    </row>
    <row r="378" spans="1:12" x14ac:dyDescent="0.2">
      <c r="A378" s="26"/>
      <c r="B378" s="26"/>
      <c r="C378" s="94" t="s">
        <v>1166</v>
      </c>
      <c r="D378" s="35">
        <v>80</v>
      </c>
      <c r="E378" s="35" t="s">
        <v>1533</v>
      </c>
      <c r="F378" s="34">
        <f>IFERROR(_xlfn.XLOOKUP(E378,Index!$A:$A,Index!$B:$B),"")</f>
        <v>996.5</v>
      </c>
      <c r="L378" s="238"/>
    </row>
    <row r="379" spans="1:12" x14ac:dyDescent="0.2">
      <c r="A379" s="26"/>
      <c r="B379" s="26"/>
      <c r="C379" s="94" t="s">
        <v>1170</v>
      </c>
      <c r="D379" s="35">
        <v>100</v>
      </c>
      <c r="E379" s="35" t="s">
        <v>1534</v>
      </c>
      <c r="F379" s="34">
        <f>IFERROR(_xlfn.XLOOKUP(E379,Index!$A:$A,Index!$B:$B),"")</f>
        <v>1080</v>
      </c>
      <c r="L379" s="238"/>
    </row>
    <row r="380" spans="1:12" x14ac:dyDescent="0.2">
      <c r="A380" s="26"/>
      <c r="B380" s="26"/>
      <c r="C380" s="94" t="s">
        <v>1174</v>
      </c>
      <c r="D380" s="35">
        <v>125</v>
      </c>
      <c r="E380" s="35" t="s">
        <v>1535</v>
      </c>
      <c r="F380" s="34">
        <f>IFERROR(_xlfn.XLOOKUP(E380,Index!$A:$A,Index!$B:$B),"")</f>
        <v>2492</v>
      </c>
      <c r="L380" s="238"/>
    </row>
    <row r="381" spans="1:12" x14ac:dyDescent="0.2">
      <c r="A381" s="26"/>
      <c r="B381" s="26"/>
      <c r="C381" s="94" t="s">
        <v>1178</v>
      </c>
      <c r="D381" s="35">
        <v>150</v>
      </c>
      <c r="E381" s="35" t="s">
        <v>1536</v>
      </c>
      <c r="F381" s="34">
        <f>IFERROR(_xlfn.XLOOKUP(E381,Index!$A:$A,Index!$B:$B),"")</f>
        <v>2658</v>
      </c>
      <c r="L381" s="238"/>
    </row>
    <row r="382" spans="1:12" x14ac:dyDescent="0.2">
      <c r="A382" s="26"/>
      <c r="B382" s="26"/>
      <c r="C382" s="94" t="s">
        <v>1182</v>
      </c>
      <c r="D382" s="35">
        <v>200</v>
      </c>
      <c r="E382" s="35" t="s">
        <v>1537</v>
      </c>
      <c r="F382" s="34">
        <f>IFERROR(_xlfn.XLOOKUP(E382,Index!$A:$A,Index!$B:$B),"")</f>
        <v>2908</v>
      </c>
      <c r="L382" s="238"/>
    </row>
    <row r="383" spans="1:12" x14ac:dyDescent="0.2">
      <c r="A383" s="26"/>
      <c r="B383" s="26"/>
      <c r="C383" s="95" t="s">
        <v>1186</v>
      </c>
      <c r="D383" s="35">
        <v>250</v>
      </c>
      <c r="E383" s="35" t="s">
        <v>1538</v>
      </c>
      <c r="F383" s="34">
        <f>IFERROR(_xlfn.XLOOKUP(E383,Index!$A:$A,Index!$B:$B),"")</f>
        <v>3239</v>
      </c>
      <c r="L383" s="238"/>
    </row>
    <row r="384" spans="1:12" x14ac:dyDescent="0.2">
      <c r="A384" s="26"/>
      <c r="B384" s="26"/>
      <c r="C384" s="94" t="s">
        <v>1190</v>
      </c>
      <c r="D384" s="35">
        <v>300</v>
      </c>
      <c r="E384" s="38" t="s">
        <v>5542</v>
      </c>
      <c r="F384" s="250">
        <f t="shared" ref="F384:F385" si="1">F364</f>
        <v>3414</v>
      </c>
      <c r="L384" s="238"/>
    </row>
    <row r="385" spans="1:12" x14ac:dyDescent="0.2">
      <c r="A385" s="26"/>
      <c r="B385" s="26"/>
      <c r="C385" s="94" t="s">
        <v>1192</v>
      </c>
      <c r="D385" s="35">
        <v>350</v>
      </c>
      <c r="E385" s="38" t="s">
        <v>5542</v>
      </c>
      <c r="F385" s="250">
        <f t="shared" si="1"/>
        <v>3849</v>
      </c>
      <c r="L385" s="238"/>
    </row>
    <row r="386" spans="1:12" x14ac:dyDescent="0.2">
      <c r="A386" s="26"/>
      <c r="B386" s="60" t="s">
        <v>1445</v>
      </c>
      <c r="C386" s="94" t="s">
        <v>1159</v>
      </c>
      <c r="D386" s="35">
        <v>50</v>
      </c>
      <c r="E386" s="35" t="s">
        <v>1539</v>
      </c>
      <c r="F386" s="34">
        <f>IFERROR(_xlfn.XLOOKUP(E386,Index!$A:$A,Index!$B:$B),"")</f>
        <v>541</v>
      </c>
      <c r="L386" s="238"/>
    </row>
    <row r="387" spans="1:12" x14ac:dyDescent="0.2">
      <c r="A387" s="26"/>
      <c r="B387" s="26"/>
      <c r="C387" s="94" t="s">
        <v>1460</v>
      </c>
      <c r="D387" s="35">
        <v>65</v>
      </c>
      <c r="E387" s="35" t="s">
        <v>1540</v>
      </c>
      <c r="F387" s="34">
        <f>IFERROR(_xlfn.XLOOKUP(E387,Index!$A:$A,Index!$B:$B),"")</f>
        <v>996.5</v>
      </c>
      <c r="L387" s="238"/>
    </row>
    <row r="388" spans="1:12" x14ac:dyDescent="0.2">
      <c r="A388" s="26"/>
      <c r="B388" s="26"/>
      <c r="C388" s="94" t="s">
        <v>1166</v>
      </c>
      <c r="D388" s="35">
        <v>80</v>
      </c>
      <c r="E388" s="35" t="s">
        <v>1541</v>
      </c>
      <c r="F388" s="34">
        <f>IFERROR(_xlfn.XLOOKUP(E388,Index!$A:$A,Index!$B:$B),"")</f>
        <v>996.5</v>
      </c>
      <c r="L388" s="238"/>
    </row>
    <row r="389" spans="1:12" x14ac:dyDescent="0.2">
      <c r="A389" s="26"/>
      <c r="B389" s="26"/>
      <c r="C389" s="94" t="s">
        <v>1170</v>
      </c>
      <c r="D389" s="35">
        <v>100</v>
      </c>
      <c r="E389" s="35" t="s">
        <v>1542</v>
      </c>
      <c r="F389" s="34">
        <f>IFERROR(_xlfn.XLOOKUP(E389,Index!$A:$A,Index!$B:$B),"")</f>
        <v>1080</v>
      </c>
      <c r="L389" s="238"/>
    </row>
    <row r="390" spans="1:12" x14ac:dyDescent="0.2">
      <c r="A390" s="26"/>
      <c r="B390" s="26"/>
      <c r="C390" s="94" t="s">
        <v>1174</v>
      </c>
      <c r="D390" s="35">
        <v>125</v>
      </c>
      <c r="E390" s="38" t="s">
        <v>5542</v>
      </c>
      <c r="F390" s="250">
        <f>F380</f>
        <v>2492</v>
      </c>
      <c r="L390" s="238"/>
    </row>
    <row r="391" spans="1:12" x14ac:dyDescent="0.2">
      <c r="A391" s="26"/>
      <c r="B391" s="26"/>
      <c r="C391" s="94" t="s">
        <v>1178</v>
      </c>
      <c r="D391" s="35">
        <v>150</v>
      </c>
      <c r="E391" s="35" t="s">
        <v>1543</v>
      </c>
      <c r="F391" s="34">
        <f>IFERROR(_xlfn.XLOOKUP(E391,Index!$A:$A,Index!$B:$B),"")</f>
        <v>2658</v>
      </c>
      <c r="L391" s="238"/>
    </row>
    <row r="392" spans="1:12" x14ac:dyDescent="0.2">
      <c r="A392" s="26"/>
      <c r="B392" s="26"/>
      <c r="C392" s="94" t="s">
        <v>1182</v>
      </c>
      <c r="D392" s="35">
        <v>200</v>
      </c>
      <c r="E392" s="35" t="s">
        <v>1544</v>
      </c>
      <c r="F392" s="34">
        <f>IFERROR(_xlfn.XLOOKUP(E392,Index!$A:$A,Index!$B:$B),"")</f>
        <v>2908</v>
      </c>
      <c r="L392" s="238"/>
    </row>
    <row r="393" spans="1:12" x14ac:dyDescent="0.2">
      <c r="A393" s="26"/>
      <c r="B393" s="26"/>
      <c r="C393" s="95" t="s">
        <v>1186</v>
      </c>
      <c r="D393" s="35">
        <v>250</v>
      </c>
      <c r="E393" s="35" t="s">
        <v>1545</v>
      </c>
      <c r="F393" s="34">
        <f>IFERROR(_xlfn.XLOOKUP(E393,Index!$A:$A,Index!$B:$B),"")</f>
        <v>3239</v>
      </c>
      <c r="L393" s="238"/>
    </row>
    <row r="394" spans="1:12" x14ac:dyDescent="0.2">
      <c r="A394" s="26"/>
      <c r="B394" s="26"/>
      <c r="C394" s="94" t="s">
        <v>1190</v>
      </c>
      <c r="D394" s="35">
        <v>300</v>
      </c>
      <c r="E394" s="38" t="s">
        <v>5542</v>
      </c>
      <c r="F394" s="250">
        <f t="shared" ref="F394:F395" si="2">F364</f>
        <v>3414</v>
      </c>
      <c r="L394" s="238"/>
    </row>
    <row r="395" spans="1:12" x14ac:dyDescent="0.2">
      <c r="A395" s="26"/>
      <c r="B395" s="26"/>
      <c r="C395" s="94" t="s">
        <v>1192</v>
      </c>
      <c r="D395" s="35">
        <v>350</v>
      </c>
      <c r="E395" s="38" t="s">
        <v>5542</v>
      </c>
      <c r="F395" s="250">
        <f t="shared" si="2"/>
        <v>3849</v>
      </c>
      <c r="L395" s="238"/>
    </row>
    <row r="396" spans="1:12" x14ac:dyDescent="0.2">
      <c r="B396" s="60" t="s">
        <v>1449</v>
      </c>
      <c r="C396" s="94" t="s">
        <v>1159</v>
      </c>
      <c r="D396" s="35">
        <v>50</v>
      </c>
      <c r="E396" s="35" t="s">
        <v>1546</v>
      </c>
      <c r="F396" s="34">
        <f>IFERROR(_xlfn.XLOOKUP(E396,Index!$A:$A,Index!$B:$B),"")</f>
        <v>541</v>
      </c>
      <c r="L396" s="238"/>
    </row>
    <row r="397" spans="1:12" x14ac:dyDescent="0.2">
      <c r="B397" s="26"/>
      <c r="C397" s="94" t="s">
        <v>1460</v>
      </c>
      <c r="D397" s="35">
        <v>65</v>
      </c>
      <c r="E397" s="35" t="s">
        <v>3042</v>
      </c>
      <c r="F397" s="34">
        <f>IFERROR(_xlfn.XLOOKUP(E397,Index!$A:$A,Index!$B:$B),"")</f>
        <v>996.5</v>
      </c>
      <c r="L397" s="238"/>
    </row>
    <row r="398" spans="1:12" x14ac:dyDescent="0.2">
      <c r="B398" s="26"/>
      <c r="C398" s="94" t="s">
        <v>1166</v>
      </c>
      <c r="D398" s="35">
        <v>80</v>
      </c>
      <c r="E398" s="35" t="s">
        <v>1547</v>
      </c>
      <c r="F398" s="34">
        <f>IFERROR(_xlfn.XLOOKUP(E398,Index!$A:$A,Index!$B:$B),"")</f>
        <v>996.5</v>
      </c>
      <c r="L398" s="238"/>
    </row>
    <row r="399" spans="1:12" x14ac:dyDescent="0.2">
      <c r="B399" s="26"/>
      <c r="C399" s="94" t="s">
        <v>1170</v>
      </c>
      <c r="D399" s="35">
        <v>100</v>
      </c>
      <c r="E399" s="35" t="s">
        <v>1548</v>
      </c>
      <c r="F399" s="34">
        <f>IFERROR(_xlfn.XLOOKUP(E399,Index!$A:$A,Index!$B:$B),"")</f>
        <v>1080</v>
      </c>
      <c r="L399" s="238"/>
    </row>
    <row r="400" spans="1:12" x14ac:dyDescent="0.2">
      <c r="B400" s="26"/>
      <c r="C400" s="94" t="s">
        <v>1174</v>
      </c>
      <c r="D400" s="35">
        <v>125</v>
      </c>
      <c r="E400" s="35" t="s">
        <v>1549</v>
      </c>
      <c r="F400" s="34">
        <f>IFERROR(_xlfn.XLOOKUP(E400,Index!$A:$A,Index!$B:$B),"")</f>
        <v>2492</v>
      </c>
      <c r="L400" s="238"/>
    </row>
    <row r="401" spans="1:12" x14ac:dyDescent="0.2">
      <c r="B401" s="26"/>
      <c r="C401" s="94" t="s">
        <v>1178</v>
      </c>
      <c r="D401" s="35">
        <v>150</v>
      </c>
      <c r="E401" s="35" t="s">
        <v>1550</v>
      </c>
      <c r="F401" s="34">
        <f>IFERROR(_xlfn.XLOOKUP(E401,Index!$A:$A,Index!$B:$B),"")</f>
        <v>2658</v>
      </c>
      <c r="L401" s="238"/>
    </row>
    <row r="402" spans="1:12" x14ac:dyDescent="0.2">
      <c r="B402" s="26"/>
      <c r="C402" s="94" t="s">
        <v>1182</v>
      </c>
      <c r="D402" s="35">
        <v>200</v>
      </c>
      <c r="E402" s="35" t="s">
        <v>1551</v>
      </c>
      <c r="F402" s="34">
        <f>IFERROR(_xlfn.XLOOKUP(E402,Index!$A:$A,Index!$B:$B),"")</f>
        <v>2908</v>
      </c>
      <c r="L402" s="238"/>
    </row>
    <row r="403" spans="1:12" x14ac:dyDescent="0.2">
      <c r="B403" s="26"/>
      <c r="C403" s="95" t="s">
        <v>1186</v>
      </c>
      <c r="D403" s="35">
        <v>250</v>
      </c>
      <c r="E403" s="35" t="s">
        <v>1552</v>
      </c>
      <c r="F403" s="34">
        <f>IFERROR(_xlfn.XLOOKUP(E403,Index!$A:$A,Index!$B:$B),"")</f>
        <v>3239</v>
      </c>
      <c r="L403" s="238"/>
    </row>
    <row r="404" spans="1:12" x14ac:dyDescent="0.2">
      <c r="B404" s="26"/>
      <c r="C404" s="94" t="s">
        <v>1190</v>
      </c>
      <c r="D404" s="35">
        <v>300</v>
      </c>
      <c r="E404" s="35" t="s">
        <v>1553</v>
      </c>
      <c r="F404" s="34">
        <f>IFERROR(_xlfn.XLOOKUP(E404,Index!$A:$A,Index!$B:$B),"")</f>
        <v>3532</v>
      </c>
      <c r="L404" s="238"/>
    </row>
    <row r="405" spans="1:12" x14ac:dyDescent="0.2">
      <c r="A405" s="244"/>
      <c r="B405" s="27"/>
      <c r="C405" s="94" t="s">
        <v>1192</v>
      </c>
      <c r="D405" s="35">
        <v>350</v>
      </c>
      <c r="E405" s="38" t="s">
        <v>5542</v>
      </c>
      <c r="F405" s="250">
        <f>F395</f>
        <v>3849</v>
      </c>
      <c r="L405" s="238"/>
    </row>
    <row r="406" spans="1:12" x14ac:dyDescent="0.2">
      <c r="B406" s="12"/>
      <c r="C406" s="3"/>
      <c r="D406" s="4"/>
      <c r="E406" s="4"/>
      <c r="F406" s="19"/>
      <c r="G406" s="4"/>
      <c r="H406" s="19"/>
      <c r="I406" s="19"/>
      <c r="J406" s="84"/>
      <c r="L406" s="238"/>
    </row>
    <row r="407" spans="1:12" ht="15.75" x14ac:dyDescent="0.2">
      <c r="A407" s="71" t="s">
        <v>1554</v>
      </c>
      <c r="B407" s="71" t="s">
        <v>214</v>
      </c>
      <c r="D407" s="3"/>
      <c r="E407" s="8"/>
      <c r="F407" s="9"/>
      <c r="G407" s="10"/>
      <c r="H407" s="19"/>
      <c r="I407" s="19"/>
      <c r="J407" s="20"/>
      <c r="L407" s="238"/>
    </row>
    <row r="408" spans="1:12" ht="15.75" x14ac:dyDescent="0.2">
      <c r="A408" s="48" t="s">
        <v>1555</v>
      </c>
      <c r="B408" s="11"/>
      <c r="C408" s="4"/>
      <c r="D408" s="4"/>
      <c r="E408" s="5"/>
      <c r="F408" s="9"/>
      <c r="G408" s="4"/>
      <c r="H408" s="19"/>
      <c r="I408" s="19"/>
      <c r="J408" s="20"/>
      <c r="L408" s="238"/>
    </row>
    <row r="409" spans="1:12" ht="24" x14ac:dyDescent="0.2">
      <c r="A409" s="25" t="s">
        <v>35</v>
      </c>
      <c r="B409" s="28" t="s">
        <v>36</v>
      </c>
      <c r="C409" s="333" t="s">
        <v>37</v>
      </c>
      <c r="D409" s="334"/>
      <c r="E409" s="335" t="s">
        <v>38</v>
      </c>
      <c r="F409" s="336"/>
      <c r="G409" s="335" t="s">
        <v>39</v>
      </c>
      <c r="H409" s="336"/>
      <c r="I409" s="29" t="s">
        <v>1271</v>
      </c>
      <c r="J409" s="24" t="s">
        <v>41</v>
      </c>
      <c r="L409" s="238"/>
    </row>
    <row r="410" spans="1:12" x14ac:dyDescent="0.2">
      <c r="A410" s="32"/>
      <c r="B410" s="32"/>
      <c r="C410" s="33" t="s">
        <v>42</v>
      </c>
      <c r="D410" s="33" t="s">
        <v>43</v>
      </c>
      <c r="E410" s="33" t="s">
        <v>44</v>
      </c>
      <c r="F410" s="33" t="s">
        <v>45</v>
      </c>
      <c r="G410" s="33" t="s">
        <v>46</v>
      </c>
      <c r="H410" s="39" t="s">
        <v>47</v>
      </c>
      <c r="I410" s="33"/>
      <c r="J410" s="41"/>
      <c r="L410" s="238"/>
    </row>
    <row r="411" spans="1:12" x14ac:dyDescent="0.2">
      <c r="A411" s="26">
        <v>165</v>
      </c>
      <c r="B411" s="26" t="s">
        <v>1367</v>
      </c>
      <c r="C411" s="30" t="s">
        <v>50</v>
      </c>
      <c r="D411" s="35" t="s">
        <v>176</v>
      </c>
      <c r="E411" s="82" t="s">
        <v>1159</v>
      </c>
      <c r="F411" s="37">
        <v>50</v>
      </c>
      <c r="G411" s="35">
        <v>32</v>
      </c>
      <c r="H411" s="38">
        <v>15</v>
      </c>
      <c r="I411" s="38" t="s">
        <v>1556</v>
      </c>
      <c r="J411" s="34">
        <f>IFERROR(_xlfn.XLOOKUP(I411,Index!$A:$A,Index!$B:$B),"")</f>
        <v>669.5</v>
      </c>
      <c r="L411" s="238"/>
    </row>
    <row r="412" spans="1:12" x14ac:dyDescent="0.2">
      <c r="A412" s="26"/>
      <c r="B412" s="26"/>
      <c r="C412" s="30"/>
      <c r="D412" s="35" t="s">
        <v>53</v>
      </c>
      <c r="E412" s="82" t="s">
        <v>1159</v>
      </c>
      <c r="F412" s="37">
        <v>50</v>
      </c>
      <c r="G412" s="35">
        <v>32</v>
      </c>
      <c r="H412" s="38">
        <v>15</v>
      </c>
      <c r="I412" s="38" t="s">
        <v>1557</v>
      </c>
      <c r="J412" s="34">
        <f>IFERROR(_xlfn.XLOOKUP(I412,Index!$A:$A,Index!$B:$B),"")</f>
        <v>702.5</v>
      </c>
      <c r="L412" s="238"/>
    </row>
    <row r="413" spans="1:12" x14ac:dyDescent="0.2">
      <c r="A413" s="26"/>
      <c r="B413" s="26"/>
      <c r="C413" s="30"/>
      <c r="D413" s="35" t="s">
        <v>55</v>
      </c>
      <c r="E413" s="82" t="s">
        <v>1159</v>
      </c>
      <c r="F413" s="37">
        <v>50</v>
      </c>
      <c r="G413" s="35">
        <v>32</v>
      </c>
      <c r="H413" s="38">
        <v>15</v>
      </c>
      <c r="I413" s="38" t="s">
        <v>1558</v>
      </c>
      <c r="J413" s="34">
        <f>IFERROR(_xlfn.XLOOKUP(I413,Index!$A:$A,Index!$B:$B),"")</f>
        <v>702.5</v>
      </c>
      <c r="L413" s="238"/>
    </row>
    <row r="414" spans="1:12" x14ac:dyDescent="0.2">
      <c r="A414" s="26"/>
      <c r="B414" s="26"/>
      <c r="C414" s="30"/>
      <c r="D414" s="35" t="s">
        <v>176</v>
      </c>
      <c r="E414" s="82" t="s">
        <v>1460</v>
      </c>
      <c r="F414" s="37">
        <v>65</v>
      </c>
      <c r="G414" s="35">
        <v>28</v>
      </c>
      <c r="H414" s="38">
        <v>13</v>
      </c>
      <c r="I414" s="38" t="s">
        <v>1559</v>
      </c>
      <c r="J414" s="34">
        <f>IFERROR(_xlfn.XLOOKUP(I414,Index!$A:$A,Index!$B:$B),"")</f>
        <v>805.5</v>
      </c>
      <c r="L414" s="238"/>
    </row>
    <row r="415" spans="1:12" x14ac:dyDescent="0.2">
      <c r="A415" s="26"/>
      <c r="B415" s="26"/>
      <c r="C415" s="30"/>
      <c r="D415" s="35" t="s">
        <v>53</v>
      </c>
      <c r="E415" s="82" t="s">
        <v>1460</v>
      </c>
      <c r="F415" s="37">
        <v>65</v>
      </c>
      <c r="G415" s="35">
        <v>28</v>
      </c>
      <c r="H415" s="38">
        <v>13</v>
      </c>
      <c r="I415" s="38" t="s">
        <v>1560</v>
      </c>
      <c r="J415" s="34">
        <f>IFERROR(_xlfn.XLOOKUP(I415,Index!$A:$A,Index!$B:$B),"")</f>
        <v>845.5</v>
      </c>
      <c r="L415" s="238"/>
    </row>
    <row r="416" spans="1:12" x14ac:dyDescent="0.2">
      <c r="A416" s="26"/>
      <c r="B416" s="26"/>
      <c r="C416" s="30"/>
      <c r="D416" s="35" t="s">
        <v>55</v>
      </c>
      <c r="E416" s="82" t="s">
        <v>1460</v>
      </c>
      <c r="F416" s="37">
        <v>65</v>
      </c>
      <c r="G416" s="35">
        <v>28</v>
      </c>
      <c r="H416" s="38">
        <v>13</v>
      </c>
      <c r="I416" s="38" t="s">
        <v>1561</v>
      </c>
      <c r="J416" s="34">
        <f>IFERROR(_xlfn.XLOOKUP(I416,Index!$A:$A,Index!$B:$B),"")</f>
        <v>845.5</v>
      </c>
      <c r="L416" s="238"/>
    </row>
    <row r="417" spans="1:12" x14ac:dyDescent="0.2">
      <c r="A417" s="26"/>
      <c r="B417" s="26"/>
      <c r="C417" s="30"/>
      <c r="D417" s="35" t="s">
        <v>176</v>
      </c>
      <c r="E417" s="82" t="s">
        <v>1166</v>
      </c>
      <c r="F417" s="37">
        <v>80</v>
      </c>
      <c r="G417" s="35">
        <v>37</v>
      </c>
      <c r="H417" s="38">
        <v>17</v>
      </c>
      <c r="I417" s="38" t="s">
        <v>1562</v>
      </c>
      <c r="J417" s="34">
        <f>IFERROR(_xlfn.XLOOKUP(I417,Index!$A:$A,Index!$B:$B),"")</f>
        <v>844.5</v>
      </c>
      <c r="L417" s="238"/>
    </row>
    <row r="418" spans="1:12" x14ac:dyDescent="0.2">
      <c r="A418" s="26"/>
      <c r="B418" s="26"/>
      <c r="C418" s="30"/>
      <c r="D418" s="35" t="s">
        <v>53</v>
      </c>
      <c r="E418" s="82" t="s">
        <v>1166</v>
      </c>
      <c r="F418" s="37">
        <v>80</v>
      </c>
      <c r="G418" s="35">
        <v>37</v>
      </c>
      <c r="H418" s="38">
        <v>17</v>
      </c>
      <c r="I418" s="38" t="s">
        <v>1563</v>
      </c>
      <c r="J418" s="34">
        <f>IFERROR(_xlfn.XLOOKUP(I418,Index!$A:$A,Index!$B:$B),"")</f>
        <v>886.5</v>
      </c>
      <c r="L418" s="238"/>
    </row>
    <row r="419" spans="1:12" x14ac:dyDescent="0.2">
      <c r="A419" s="26"/>
      <c r="B419" s="26"/>
      <c r="C419" s="30"/>
      <c r="D419" s="35" t="s">
        <v>55</v>
      </c>
      <c r="E419" s="82" t="s">
        <v>1166</v>
      </c>
      <c r="F419" s="37">
        <v>80</v>
      </c>
      <c r="G419" s="35">
        <v>37</v>
      </c>
      <c r="H419" s="38">
        <v>17</v>
      </c>
      <c r="I419" s="38" t="s">
        <v>1564</v>
      </c>
      <c r="J419" s="34">
        <f>IFERROR(_xlfn.XLOOKUP(I419,Index!$A:$A,Index!$B:$B),"")</f>
        <v>886.5</v>
      </c>
      <c r="L419" s="238"/>
    </row>
    <row r="420" spans="1:12" x14ac:dyDescent="0.2">
      <c r="A420" s="26"/>
      <c r="B420" s="26"/>
      <c r="C420" s="30"/>
      <c r="D420" s="35" t="s">
        <v>176</v>
      </c>
      <c r="E420" s="82" t="s">
        <v>1170</v>
      </c>
      <c r="F420" s="37">
        <v>100</v>
      </c>
      <c r="G420" s="35">
        <v>63</v>
      </c>
      <c r="H420" s="38">
        <v>29</v>
      </c>
      <c r="I420" s="38" t="s">
        <v>1565</v>
      </c>
      <c r="J420" s="34">
        <f>IFERROR(_xlfn.XLOOKUP(I420,Index!$A:$A,Index!$B:$B),"")</f>
        <v>1106</v>
      </c>
      <c r="L420" s="238"/>
    </row>
    <row r="421" spans="1:12" x14ac:dyDescent="0.2">
      <c r="A421" s="26"/>
      <c r="B421" s="26"/>
      <c r="C421" s="30"/>
      <c r="D421" s="35" t="s">
        <v>53</v>
      </c>
      <c r="E421" s="82" t="s">
        <v>1170</v>
      </c>
      <c r="F421" s="37">
        <v>100</v>
      </c>
      <c r="G421" s="35">
        <v>63</v>
      </c>
      <c r="H421" s="38">
        <v>29</v>
      </c>
      <c r="I421" s="38" t="s">
        <v>1566</v>
      </c>
      <c r="J421" s="34">
        <f>IFERROR(_xlfn.XLOOKUP(I421,Index!$A:$A,Index!$B:$B),"")</f>
        <v>1162</v>
      </c>
      <c r="L421" s="238"/>
    </row>
    <row r="422" spans="1:12" x14ac:dyDescent="0.2">
      <c r="A422" s="26"/>
      <c r="B422" s="26"/>
      <c r="C422" s="30"/>
      <c r="D422" s="35" t="s">
        <v>55</v>
      </c>
      <c r="E422" s="82" t="s">
        <v>1170</v>
      </c>
      <c r="F422" s="37">
        <v>100</v>
      </c>
      <c r="G422" s="35">
        <v>63</v>
      </c>
      <c r="H422" s="38">
        <v>29</v>
      </c>
      <c r="I422" s="38" t="s">
        <v>1567</v>
      </c>
      <c r="J422" s="34">
        <f>IFERROR(_xlfn.XLOOKUP(I422,Index!$A:$A,Index!$B:$B),"")</f>
        <v>1162</v>
      </c>
      <c r="L422" s="238"/>
    </row>
    <row r="423" spans="1:12" x14ac:dyDescent="0.2">
      <c r="A423" s="26"/>
      <c r="B423" s="26"/>
      <c r="C423" s="30"/>
      <c r="D423" s="35" t="s">
        <v>241</v>
      </c>
      <c r="E423" s="82" t="s">
        <v>1174</v>
      </c>
      <c r="F423" s="37">
        <v>125</v>
      </c>
      <c r="G423" s="35">
        <v>98</v>
      </c>
      <c r="H423" s="38">
        <v>44</v>
      </c>
      <c r="I423" s="38" t="s">
        <v>1568</v>
      </c>
      <c r="J423" s="34">
        <f>IFERROR(_xlfn.XLOOKUP(I423,Index!$A:$A,Index!$B:$B),"")</f>
        <v>2296</v>
      </c>
      <c r="L423" s="238"/>
    </row>
    <row r="424" spans="1:12" x14ac:dyDescent="0.2">
      <c r="A424" s="26"/>
      <c r="B424" s="26"/>
      <c r="C424" s="30"/>
      <c r="D424" s="35" t="s">
        <v>53</v>
      </c>
      <c r="E424" s="82" t="s">
        <v>1174</v>
      </c>
      <c r="F424" s="37">
        <v>125</v>
      </c>
      <c r="G424" s="35">
        <v>98</v>
      </c>
      <c r="H424" s="38">
        <v>44</v>
      </c>
      <c r="I424" s="38" t="s">
        <v>1569</v>
      </c>
      <c r="J424" s="34">
        <f>IFERROR(_xlfn.XLOOKUP(I424,Index!$A:$A,Index!$B:$B),"")</f>
        <v>2410</v>
      </c>
      <c r="L424" s="238"/>
    </row>
    <row r="425" spans="1:12" x14ac:dyDescent="0.2">
      <c r="A425" s="26"/>
      <c r="B425" s="26"/>
      <c r="C425" s="30"/>
      <c r="D425" s="35" t="s">
        <v>55</v>
      </c>
      <c r="E425" s="82" t="s">
        <v>1174</v>
      </c>
      <c r="F425" s="37">
        <v>125</v>
      </c>
      <c r="G425" s="35">
        <v>98</v>
      </c>
      <c r="H425" s="38">
        <v>44</v>
      </c>
      <c r="I425" s="38" t="s">
        <v>1570</v>
      </c>
      <c r="J425" s="34">
        <f>IFERROR(_xlfn.XLOOKUP(I425,Index!$A:$A,Index!$B:$B),"")</f>
        <v>2410</v>
      </c>
      <c r="L425" s="238"/>
    </row>
    <row r="426" spans="1:12" x14ac:dyDescent="0.2">
      <c r="A426" s="26"/>
      <c r="B426" s="26"/>
      <c r="C426" s="30"/>
      <c r="D426" s="35" t="s">
        <v>241</v>
      </c>
      <c r="E426" s="82" t="s">
        <v>1178</v>
      </c>
      <c r="F426" s="37">
        <v>150</v>
      </c>
      <c r="G426" s="35">
        <v>122</v>
      </c>
      <c r="H426" s="38">
        <v>55</v>
      </c>
      <c r="I426" s="38" t="s">
        <v>1571</v>
      </c>
      <c r="J426" s="34">
        <f>IFERROR(_xlfn.XLOOKUP(I426,Index!$A:$A,Index!$B:$B),"")</f>
        <v>1879</v>
      </c>
      <c r="L426" s="238"/>
    </row>
    <row r="427" spans="1:12" x14ac:dyDescent="0.2">
      <c r="A427" s="26"/>
      <c r="B427" s="26"/>
      <c r="C427" s="30"/>
      <c r="D427" s="35" t="s">
        <v>53</v>
      </c>
      <c r="E427" s="82" t="s">
        <v>1178</v>
      </c>
      <c r="F427" s="37">
        <v>150</v>
      </c>
      <c r="G427" s="35">
        <v>122</v>
      </c>
      <c r="H427" s="38">
        <v>55</v>
      </c>
      <c r="I427" s="38" t="s">
        <v>1572</v>
      </c>
      <c r="J427" s="34">
        <f>IFERROR(_xlfn.XLOOKUP(I427,Index!$A:$A,Index!$B:$B),"")</f>
        <v>1973</v>
      </c>
      <c r="L427" s="238"/>
    </row>
    <row r="428" spans="1:12" x14ac:dyDescent="0.2">
      <c r="A428" s="26"/>
      <c r="B428" s="26"/>
      <c r="C428" s="30"/>
      <c r="D428" s="35" t="s">
        <v>55</v>
      </c>
      <c r="E428" s="82" t="s">
        <v>1178</v>
      </c>
      <c r="F428" s="37">
        <v>150</v>
      </c>
      <c r="G428" s="35">
        <v>122</v>
      </c>
      <c r="H428" s="38">
        <v>55</v>
      </c>
      <c r="I428" s="38" t="s">
        <v>1573</v>
      </c>
      <c r="J428" s="34">
        <f>IFERROR(_xlfn.XLOOKUP(I428,Index!$A:$A,Index!$B:$B),"")</f>
        <v>1973</v>
      </c>
      <c r="L428" s="238"/>
    </row>
    <row r="429" spans="1:12" x14ac:dyDescent="0.2">
      <c r="A429" s="26"/>
      <c r="B429" s="26"/>
      <c r="C429" s="30"/>
      <c r="D429" s="35" t="s">
        <v>241</v>
      </c>
      <c r="E429" s="82" t="s">
        <v>1182</v>
      </c>
      <c r="F429" s="37">
        <v>200</v>
      </c>
      <c r="G429" s="35">
        <v>198</v>
      </c>
      <c r="H429" s="38">
        <v>90</v>
      </c>
      <c r="I429" s="38" t="s">
        <v>1574</v>
      </c>
      <c r="J429" s="34">
        <f>IFERROR(_xlfn.XLOOKUP(I429,Index!$A:$A,Index!$B:$B),"")</f>
        <v>3050</v>
      </c>
      <c r="L429" s="238"/>
    </row>
    <row r="430" spans="1:12" x14ac:dyDescent="0.2">
      <c r="A430" s="26"/>
      <c r="B430" s="26"/>
      <c r="C430" s="30"/>
      <c r="D430" s="35" t="s">
        <v>53</v>
      </c>
      <c r="E430" s="82" t="s">
        <v>1182</v>
      </c>
      <c r="F430" s="37">
        <v>200</v>
      </c>
      <c r="G430" s="35">
        <v>198</v>
      </c>
      <c r="H430" s="38">
        <v>90</v>
      </c>
      <c r="I430" s="38" t="s">
        <v>1575</v>
      </c>
      <c r="J430" s="34">
        <f>IFERROR(_xlfn.XLOOKUP(I430,Index!$A:$A,Index!$B:$B),"")</f>
        <v>3202</v>
      </c>
      <c r="L430" s="238"/>
    </row>
    <row r="431" spans="1:12" x14ac:dyDescent="0.2">
      <c r="A431" s="26"/>
      <c r="B431" s="26"/>
      <c r="C431" s="30"/>
      <c r="D431" s="35" t="s">
        <v>55</v>
      </c>
      <c r="E431" s="82" t="s">
        <v>1182</v>
      </c>
      <c r="F431" s="37">
        <v>200</v>
      </c>
      <c r="G431" s="35">
        <v>198</v>
      </c>
      <c r="H431" s="38">
        <v>90</v>
      </c>
      <c r="I431" s="38" t="s">
        <v>5646</v>
      </c>
      <c r="J431" s="34">
        <f>IFERROR(_xlfn.XLOOKUP(I431,Index!$A:$A,Index!$B:$B),"")</f>
        <v>3202</v>
      </c>
      <c r="L431" s="238"/>
    </row>
    <row r="432" spans="1:12" x14ac:dyDescent="0.2">
      <c r="A432" s="26"/>
      <c r="B432" s="26"/>
      <c r="C432" s="30"/>
      <c r="D432" s="35" t="s">
        <v>241</v>
      </c>
      <c r="E432" s="82" t="s">
        <v>1186</v>
      </c>
      <c r="F432" s="37">
        <v>250</v>
      </c>
      <c r="G432" s="35">
        <v>350</v>
      </c>
      <c r="H432" s="38">
        <v>159</v>
      </c>
      <c r="I432" s="38" t="s">
        <v>1576</v>
      </c>
      <c r="J432" s="34">
        <f>IFERROR(_xlfn.XLOOKUP(I432,Index!$A:$A,Index!$B:$B),"")</f>
        <v>5846</v>
      </c>
      <c r="L432" s="238"/>
    </row>
    <row r="433" spans="1:12" x14ac:dyDescent="0.2">
      <c r="A433" s="26"/>
      <c r="B433" s="26"/>
      <c r="C433" s="30"/>
      <c r="D433" s="35" t="s">
        <v>53</v>
      </c>
      <c r="E433" s="82" t="s">
        <v>1186</v>
      </c>
      <c r="F433" s="37">
        <v>250</v>
      </c>
      <c r="G433" s="35">
        <v>350</v>
      </c>
      <c r="H433" s="38">
        <v>159</v>
      </c>
      <c r="I433" s="38" t="s">
        <v>5542</v>
      </c>
      <c r="J433" s="46">
        <f>J432+234</f>
        <v>6080</v>
      </c>
      <c r="L433" s="238"/>
    </row>
    <row r="434" spans="1:12" x14ac:dyDescent="0.2">
      <c r="A434" s="26"/>
      <c r="B434" s="26"/>
      <c r="C434" s="30"/>
      <c r="D434" s="35" t="s">
        <v>55</v>
      </c>
      <c r="E434" s="82" t="s">
        <v>1186</v>
      </c>
      <c r="F434" s="37">
        <v>250</v>
      </c>
      <c r="G434" s="35">
        <v>350</v>
      </c>
      <c r="H434" s="38">
        <v>159</v>
      </c>
      <c r="I434" s="38" t="s">
        <v>5647</v>
      </c>
      <c r="J434" s="34">
        <f>IFERROR(_xlfn.XLOOKUP(I434,Index!$A:$A,Index!$B:$B),"")</f>
        <v>6138</v>
      </c>
      <c r="L434" s="238"/>
    </row>
    <row r="435" spans="1:12" x14ac:dyDescent="0.2">
      <c r="A435" s="26"/>
      <c r="B435" s="26"/>
      <c r="C435" s="30"/>
      <c r="D435" s="35" t="s">
        <v>241</v>
      </c>
      <c r="E435" s="82" t="s">
        <v>1190</v>
      </c>
      <c r="F435" s="37">
        <v>300</v>
      </c>
      <c r="G435" s="35">
        <v>716</v>
      </c>
      <c r="H435" s="38">
        <v>325</v>
      </c>
      <c r="I435" s="38" t="s">
        <v>1577</v>
      </c>
      <c r="J435" s="34">
        <f>IFERROR(_xlfn.XLOOKUP(I435,Index!$A:$A,Index!$B:$B),"")</f>
        <v>9452</v>
      </c>
      <c r="L435" s="238"/>
    </row>
    <row r="436" spans="1:12" x14ac:dyDescent="0.2">
      <c r="A436" s="26"/>
      <c r="B436" s="26"/>
      <c r="C436" s="30"/>
      <c r="D436" s="35" t="s">
        <v>53</v>
      </c>
      <c r="E436" s="82" t="s">
        <v>1190</v>
      </c>
      <c r="F436" s="37">
        <v>300</v>
      </c>
      <c r="G436" s="35">
        <v>716</v>
      </c>
      <c r="H436" s="38">
        <v>325</v>
      </c>
      <c r="I436" s="38" t="s">
        <v>1578</v>
      </c>
      <c r="J436" s="34">
        <f>IFERROR(_xlfn.XLOOKUP(I436,Index!$A:$A,Index!$B:$B),"")</f>
        <v>9924</v>
      </c>
      <c r="L436" s="238"/>
    </row>
    <row r="437" spans="1:12" x14ac:dyDescent="0.2">
      <c r="A437" s="26"/>
      <c r="B437" s="26"/>
      <c r="C437" s="30"/>
      <c r="D437" s="35" t="s">
        <v>55</v>
      </c>
      <c r="E437" s="82" t="s">
        <v>1190</v>
      </c>
      <c r="F437" s="37">
        <v>300</v>
      </c>
      <c r="G437" s="35">
        <v>716</v>
      </c>
      <c r="H437" s="38">
        <v>325</v>
      </c>
      <c r="I437" s="38" t="s">
        <v>1579</v>
      </c>
      <c r="J437" s="34">
        <f>IFERROR(_xlfn.XLOOKUP(I437,Index!$A:$A,Index!$B:$B),"")</f>
        <v>9924</v>
      </c>
      <c r="L437" s="238"/>
    </row>
    <row r="438" spans="1:12" x14ac:dyDescent="0.2">
      <c r="A438" s="26"/>
      <c r="B438" s="26"/>
      <c r="C438" s="30"/>
      <c r="D438" s="35" t="s">
        <v>241</v>
      </c>
      <c r="E438" s="82" t="s">
        <v>1192</v>
      </c>
      <c r="F438" s="37">
        <v>350</v>
      </c>
      <c r="G438" s="35">
        <v>1010</v>
      </c>
      <c r="H438" s="38">
        <v>458</v>
      </c>
      <c r="I438" s="38" t="s">
        <v>1580</v>
      </c>
      <c r="J438" s="34">
        <f>IFERROR(_xlfn.XLOOKUP(I438,Index!$A:$A,Index!$B:$B),"")</f>
        <v>12293</v>
      </c>
      <c r="L438" s="238"/>
    </row>
    <row r="439" spans="1:12" x14ac:dyDescent="0.2">
      <c r="A439" s="26"/>
      <c r="B439" s="26"/>
      <c r="C439" s="30"/>
      <c r="D439" s="35" t="s">
        <v>53</v>
      </c>
      <c r="E439" s="82" t="s">
        <v>1192</v>
      </c>
      <c r="F439" s="37">
        <v>350</v>
      </c>
      <c r="G439" s="35">
        <v>1010</v>
      </c>
      <c r="H439" s="38">
        <v>458</v>
      </c>
      <c r="I439" s="38" t="s">
        <v>5542</v>
      </c>
      <c r="J439" s="46">
        <f>J438+492</f>
        <v>12785</v>
      </c>
      <c r="L439" s="238"/>
    </row>
    <row r="440" spans="1:12" x14ac:dyDescent="0.2">
      <c r="A440" s="27"/>
      <c r="B440" s="27"/>
      <c r="C440" s="31"/>
      <c r="D440" s="35" t="s">
        <v>55</v>
      </c>
      <c r="E440" s="82" t="s">
        <v>1192</v>
      </c>
      <c r="F440" s="37">
        <v>350</v>
      </c>
      <c r="G440" s="35">
        <v>1010</v>
      </c>
      <c r="H440" s="38">
        <v>458</v>
      </c>
      <c r="I440" s="38" t="s">
        <v>5542</v>
      </c>
      <c r="J440" s="46">
        <f>J439</f>
        <v>12785</v>
      </c>
      <c r="L440" s="238"/>
    </row>
    <row r="441" spans="1:12" x14ac:dyDescent="0.2">
      <c r="B441" s="12"/>
      <c r="C441" s="3"/>
      <c r="D441" s="4"/>
      <c r="E441" s="4"/>
      <c r="F441" s="19"/>
      <c r="G441" s="4"/>
      <c r="H441" s="19"/>
      <c r="I441" s="19"/>
      <c r="J441" s="84"/>
      <c r="L441" s="238"/>
    </row>
    <row r="442" spans="1:12" x14ac:dyDescent="0.2">
      <c r="B442" s="12"/>
      <c r="C442" s="3"/>
      <c r="D442" s="4"/>
      <c r="E442" s="4"/>
      <c r="F442" s="19"/>
      <c r="G442" s="4"/>
      <c r="H442" s="19"/>
      <c r="I442" s="19"/>
      <c r="J442" s="84"/>
      <c r="L442" s="238"/>
    </row>
    <row r="443" spans="1:12" x14ac:dyDescent="0.2">
      <c r="B443" s="12"/>
      <c r="C443" s="3"/>
      <c r="D443" s="4"/>
      <c r="E443" s="4"/>
      <c r="F443" s="19"/>
      <c r="G443" s="4"/>
      <c r="H443" s="19"/>
      <c r="I443" s="19"/>
      <c r="J443" s="84"/>
      <c r="L443" s="238"/>
    </row>
    <row r="444" spans="1:12" ht="15.75" x14ac:dyDescent="0.2">
      <c r="A444" s="71" t="s">
        <v>1581</v>
      </c>
      <c r="B444" s="71" t="s">
        <v>468</v>
      </c>
      <c r="C444" s="72"/>
      <c r="D444" s="73"/>
      <c r="E444" s="74"/>
      <c r="F444" s="114"/>
      <c r="G444" s="115"/>
      <c r="H444" s="77"/>
      <c r="I444" s="77"/>
      <c r="J444" s="78"/>
      <c r="L444" s="238"/>
    </row>
    <row r="445" spans="1:12" ht="15.75" x14ac:dyDescent="0.2">
      <c r="A445" s="48" t="s">
        <v>1582</v>
      </c>
      <c r="B445" s="11"/>
      <c r="C445" s="4"/>
      <c r="D445" s="4"/>
      <c r="E445" s="5"/>
      <c r="F445" s="110"/>
      <c r="G445" s="4"/>
      <c r="H445" s="19"/>
      <c r="I445" s="19"/>
      <c r="J445" s="20"/>
      <c r="L445" s="238"/>
    </row>
    <row r="446" spans="1:12" ht="24" x14ac:dyDescent="0.2">
      <c r="A446" s="25" t="s">
        <v>35</v>
      </c>
      <c r="B446" s="28" t="s">
        <v>36</v>
      </c>
      <c r="C446" s="333" t="s">
        <v>37</v>
      </c>
      <c r="D446" s="333"/>
      <c r="E446" s="335" t="s">
        <v>38</v>
      </c>
      <c r="F446" s="335"/>
      <c r="G446" s="335" t="s">
        <v>39</v>
      </c>
      <c r="H446" s="335"/>
      <c r="I446" s="42" t="s">
        <v>40</v>
      </c>
      <c r="J446" s="43" t="s">
        <v>41</v>
      </c>
      <c r="L446" s="238"/>
    </row>
    <row r="447" spans="1:12" x14ac:dyDescent="0.2">
      <c r="A447" s="32"/>
      <c r="B447" s="32"/>
      <c r="C447" s="33" t="s">
        <v>42</v>
      </c>
      <c r="D447" s="33" t="s">
        <v>43</v>
      </c>
      <c r="E447" s="33" t="s">
        <v>44</v>
      </c>
      <c r="F447" s="33" t="s">
        <v>45</v>
      </c>
      <c r="G447" s="33" t="s">
        <v>46</v>
      </c>
      <c r="H447" s="33" t="s">
        <v>47</v>
      </c>
      <c r="I447" s="33"/>
      <c r="J447" s="44"/>
      <c r="L447" s="238"/>
    </row>
    <row r="448" spans="1:12" x14ac:dyDescent="0.2">
      <c r="A448" s="26" t="s">
        <v>1583</v>
      </c>
      <c r="B448" s="26" t="s">
        <v>1367</v>
      </c>
      <c r="C448" s="30" t="s">
        <v>50</v>
      </c>
      <c r="D448" s="35" t="s">
        <v>176</v>
      </c>
      <c r="E448" s="70">
        <v>2</v>
      </c>
      <c r="F448" s="38">
        <v>50</v>
      </c>
      <c r="G448" s="38">
        <v>32</v>
      </c>
      <c r="H448" s="38">
        <v>15</v>
      </c>
      <c r="I448" s="38" t="s">
        <v>1584</v>
      </c>
      <c r="J448" s="34">
        <f>IFERROR(_xlfn.XLOOKUP(I448,Index!$A:$A,Index!$B:$B),"")</f>
        <v>638.5</v>
      </c>
      <c r="L448" s="238"/>
    </row>
    <row r="449" spans="1:12" x14ac:dyDescent="0.2">
      <c r="A449" s="26"/>
      <c r="B449" s="26"/>
      <c r="C449" s="30"/>
      <c r="D449" s="35" t="s">
        <v>176</v>
      </c>
      <c r="E449" s="64">
        <v>2.5</v>
      </c>
      <c r="F449" s="116">
        <v>65</v>
      </c>
      <c r="G449" s="35">
        <v>28</v>
      </c>
      <c r="H449" s="40">
        <v>13</v>
      </c>
      <c r="I449" s="38" t="s">
        <v>1585</v>
      </c>
      <c r="J449" s="34">
        <f>IFERROR(_xlfn.XLOOKUP(I449,Index!$A:$A,Index!$B:$B),"")</f>
        <v>768.5</v>
      </c>
      <c r="L449" s="238"/>
    </row>
    <row r="450" spans="1:12" x14ac:dyDescent="0.2">
      <c r="A450" s="26"/>
      <c r="B450" s="26"/>
      <c r="C450" s="30"/>
      <c r="D450" s="35" t="s">
        <v>176</v>
      </c>
      <c r="E450" s="64">
        <v>3</v>
      </c>
      <c r="F450" s="116">
        <v>80</v>
      </c>
      <c r="G450" s="35">
        <v>37</v>
      </c>
      <c r="H450" s="40">
        <v>17</v>
      </c>
      <c r="I450" s="38" t="s">
        <v>1586</v>
      </c>
      <c r="J450" s="34">
        <f>IFERROR(_xlfn.XLOOKUP(I450,Index!$A:$A,Index!$B:$B),"")</f>
        <v>806</v>
      </c>
      <c r="L450" s="238"/>
    </row>
    <row r="451" spans="1:12" x14ac:dyDescent="0.2">
      <c r="A451" s="26"/>
      <c r="B451" s="26"/>
      <c r="C451" s="30"/>
      <c r="D451" s="35" t="s">
        <v>176</v>
      </c>
      <c r="E451" s="64">
        <v>4</v>
      </c>
      <c r="F451" s="116">
        <v>100</v>
      </c>
      <c r="G451" s="35">
        <v>63</v>
      </c>
      <c r="H451" s="40">
        <v>29</v>
      </c>
      <c r="I451" s="38" t="s">
        <v>1587</v>
      </c>
      <c r="J451" s="34">
        <f>IFERROR(_xlfn.XLOOKUP(I451,Index!$A:$A,Index!$B:$B),"")</f>
        <v>1056</v>
      </c>
      <c r="L451" s="238"/>
    </row>
    <row r="452" spans="1:12" x14ac:dyDescent="0.2">
      <c r="A452" s="26"/>
      <c r="B452" s="26"/>
      <c r="C452" s="30"/>
      <c r="D452" s="35" t="s">
        <v>241</v>
      </c>
      <c r="E452" s="64">
        <v>5</v>
      </c>
      <c r="F452" s="116">
        <v>125</v>
      </c>
      <c r="G452" s="35">
        <v>98</v>
      </c>
      <c r="H452" s="40">
        <v>44</v>
      </c>
      <c r="I452" s="38" t="s">
        <v>1588</v>
      </c>
      <c r="J452" s="34">
        <f>IFERROR(_xlfn.XLOOKUP(I452,Index!$A:$A,Index!$B:$B),"")</f>
        <v>2191</v>
      </c>
      <c r="L452" s="238"/>
    </row>
    <row r="453" spans="1:12" x14ac:dyDescent="0.2">
      <c r="A453" s="26"/>
      <c r="B453" s="26"/>
      <c r="C453" s="30"/>
      <c r="D453" s="35" t="s">
        <v>241</v>
      </c>
      <c r="E453" s="64">
        <v>6</v>
      </c>
      <c r="F453" s="116">
        <v>150</v>
      </c>
      <c r="G453" s="35">
        <v>122</v>
      </c>
      <c r="H453" s="40">
        <v>55</v>
      </c>
      <c r="I453" s="38" t="s">
        <v>1589</v>
      </c>
      <c r="J453" s="34">
        <f>IFERROR(_xlfn.XLOOKUP(I453,Index!$A:$A,Index!$B:$B),"")</f>
        <v>1792</v>
      </c>
      <c r="K453" s="279"/>
      <c r="L453" s="238"/>
    </row>
    <row r="454" spans="1:12" x14ac:dyDescent="0.2">
      <c r="A454" s="26"/>
      <c r="B454" s="26"/>
      <c r="C454" s="30"/>
      <c r="D454" s="35" t="s">
        <v>241</v>
      </c>
      <c r="E454" s="64">
        <v>8</v>
      </c>
      <c r="F454" s="116">
        <v>200</v>
      </c>
      <c r="G454" s="35">
        <v>198</v>
      </c>
      <c r="H454" s="40">
        <v>90</v>
      </c>
      <c r="I454" s="38" t="s">
        <v>1590</v>
      </c>
      <c r="J454" s="34">
        <f>IFERROR(_xlfn.XLOOKUP(I454,Index!$A:$A,Index!$B:$B),"")</f>
        <v>2910</v>
      </c>
      <c r="L454" s="238"/>
    </row>
    <row r="455" spans="1:12" x14ac:dyDescent="0.2">
      <c r="A455" s="26"/>
      <c r="B455" s="26"/>
      <c r="C455" s="30"/>
      <c r="D455" s="35" t="s">
        <v>241</v>
      </c>
      <c r="E455" s="64">
        <v>10</v>
      </c>
      <c r="F455" s="116">
        <v>250</v>
      </c>
      <c r="G455" s="35">
        <v>350</v>
      </c>
      <c r="H455" s="40">
        <v>159</v>
      </c>
      <c r="I455" s="38" t="s">
        <v>1591</v>
      </c>
      <c r="J455" s="34">
        <f>IFERROR(_xlfn.XLOOKUP(I455,Index!$A:$A,Index!$B:$B),"")</f>
        <v>5579</v>
      </c>
      <c r="L455" s="238"/>
    </row>
    <row r="456" spans="1:12" x14ac:dyDescent="0.2">
      <c r="A456" s="27"/>
      <c r="B456" s="27"/>
      <c r="C456" s="31"/>
      <c r="D456" s="35" t="s">
        <v>241</v>
      </c>
      <c r="E456" s="64">
        <v>12</v>
      </c>
      <c r="F456" s="116">
        <v>300</v>
      </c>
      <c r="G456" s="35">
        <v>716</v>
      </c>
      <c r="H456" s="40">
        <v>325</v>
      </c>
      <c r="I456" s="38" t="s">
        <v>1592</v>
      </c>
      <c r="J456" s="34">
        <f>IFERROR(_xlfn.XLOOKUP(I456,Index!$A:$A,Index!$B:$B),"")</f>
        <v>9020</v>
      </c>
      <c r="L456" s="238"/>
    </row>
    <row r="457" spans="1:12" x14ac:dyDescent="0.2">
      <c r="B457" s="12"/>
      <c r="C457" s="3"/>
      <c r="D457" s="4"/>
      <c r="E457" s="4"/>
      <c r="F457" s="19"/>
      <c r="G457" s="4"/>
      <c r="H457" s="19"/>
      <c r="I457" s="19"/>
      <c r="J457" s="84"/>
      <c r="L457" s="238"/>
    </row>
    <row r="458" spans="1:12" x14ac:dyDescent="0.2">
      <c r="B458" s="12"/>
      <c r="C458" s="3"/>
      <c r="D458" s="4"/>
      <c r="E458" s="4"/>
      <c r="F458" s="19"/>
      <c r="G458" s="4"/>
      <c r="H458" s="19"/>
      <c r="I458" s="19"/>
      <c r="J458" s="84"/>
      <c r="L458" s="238"/>
    </row>
    <row r="459" spans="1:12" ht="15.75" x14ac:dyDescent="0.2">
      <c r="A459" s="235" t="s">
        <v>1593</v>
      </c>
      <c r="B459" s="231"/>
      <c r="C459" s="18"/>
      <c r="D459" s="49"/>
      <c r="E459" s="50"/>
      <c r="F459" s="51"/>
      <c r="G459" s="4"/>
      <c r="H459" s="19"/>
      <c r="I459" s="19"/>
      <c r="J459" s="84"/>
      <c r="L459" s="238"/>
    </row>
    <row r="460" spans="1:12" ht="15.75" x14ac:dyDescent="0.2">
      <c r="A460" s="48" t="s">
        <v>102</v>
      </c>
      <c r="B460" s="57"/>
      <c r="C460" s="58"/>
      <c r="D460" s="58"/>
      <c r="E460" s="59"/>
      <c r="F460" s="51"/>
      <c r="G460" s="4"/>
      <c r="H460" s="19"/>
      <c r="I460" s="19"/>
      <c r="J460" s="84"/>
      <c r="L460" s="238"/>
    </row>
    <row r="461" spans="1:12" x14ac:dyDescent="0.2">
      <c r="A461" s="25" t="s">
        <v>35</v>
      </c>
      <c r="B461" s="28" t="s">
        <v>103</v>
      </c>
      <c r="C461" s="335" t="s">
        <v>38</v>
      </c>
      <c r="D461" s="336"/>
      <c r="E461" s="42" t="s">
        <v>40</v>
      </c>
      <c r="F461" s="43" t="s">
        <v>41</v>
      </c>
      <c r="L461" s="238"/>
    </row>
    <row r="462" spans="1:12" x14ac:dyDescent="0.2">
      <c r="A462" s="32"/>
      <c r="B462" s="32"/>
      <c r="C462" s="33" t="s">
        <v>44</v>
      </c>
      <c r="D462" s="33" t="s">
        <v>45</v>
      </c>
      <c r="E462" s="33"/>
      <c r="F462" s="44"/>
      <c r="L462" s="238"/>
    </row>
    <row r="463" spans="1:12" x14ac:dyDescent="0.2">
      <c r="A463" s="26" t="s">
        <v>1594</v>
      </c>
      <c r="B463" s="60" t="s">
        <v>1595</v>
      </c>
      <c r="C463" s="94" t="s">
        <v>1159</v>
      </c>
      <c r="D463" s="35">
        <v>50</v>
      </c>
      <c r="E463" s="35" t="s">
        <v>1596</v>
      </c>
      <c r="F463" s="34">
        <f>IFERROR(_xlfn.XLOOKUP(E463,Index!$A:$A,Index!$B:$B),"")</f>
        <v>9</v>
      </c>
      <c r="L463" s="238"/>
    </row>
    <row r="464" spans="1:12" x14ac:dyDescent="0.2">
      <c r="A464" s="26"/>
      <c r="B464" s="26"/>
      <c r="C464" s="94" t="s">
        <v>1460</v>
      </c>
      <c r="D464" s="35">
        <v>65</v>
      </c>
      <c r="E464" s="35" t="s">
        <v>420</v>
      </c>
      <c r="F464" s="34">
        <f>IFERROR(_xlfn.XLOOKUP(E464,Index!$A:$A,Index!$B:$B),"")</f>
        <v>12.25</v>
      </c>
      <c r="L464" s="238"/>
    </row>
    <row r="465" spans="1:12" x14ac:dyDescent="0.2">
      <c r="A465" s="26"/>
      <c r="B465" s="26"/>
      <c r="C465" s="94" t="s">
        <v>1166</v>
      </c>
      <c r="D465" s="35">
        <v>80</v>
      </c>
      <c r="E465" s="35" t="s">
        <v>1597</v>
      </c>
      <c r="F465" s="34">
        <f>IFERROR(_xlfn.XLOOKUP(E465,Index!$A:$A,Index!$B:$B),"")</f>
        <v>12.5</v>
      </c>
      <c r="L465" s="238"/>
    </row>
    <row r="466" spans="1:12" x14ac:dyDescent="0.2">
      <c r="A466" s="26"/>
      <c r="B466" s="26"/>
      <c r="C466" s="94" t="s">
        <v>1170</v>
      </c>
      <c r="D466" s="35">
        <v>100</v>
      </c>
      <c r="E466" s="35" t="s">
        <v>1598</v>
      </c>
      <c r="F466" s="34">
        <f>IFERROR(_xlfn.XLOOKUP(E466,Index!$A:$A,Index!$B:$B),"")</f>
        <v>15</v>
      </c>
      <c r="L466" s="238"/>
    </row>
    <row r="467" spans="1:12" x14ac:dyDescent="0.2">
      <c r="A467" s="26"/>
      <c r="B467" s="26"/>
      <c r="C467" s="94" t="s">
        <v>1174</v>
      </c>
      <c r="D467" s="35">
        <v>125</v>
      </c>
      <c r="E467" s="35" t="s">
        <v>1599</v>
      </c>
      <c r="F467" s="34">
        <f>IFERROR(_xlfn.XLOOKUP(E467,Index!$A:$A,Index!$B:$B),"")</f>
        <v>18.75</v>
      </c>
      <c r="L467" s="238"/>
    </row>
    <row r="468" spans="1:12" x14ac:dyDescent="0.2">
      <c r="A468" s="26"/>
      <c r="B468" s="26"/>
      <c r="C468" s="94" t="s">
        <v>1178</v>
      </c>
      <c r="D468" s="35">
        <v>150</v>
      </c>
      <c r="E468" s="35" t="s">
        <v>1600</v>
      </c>
      <c r="F468" s="34">
        <f>IFERROR(_xlfn.XLOOKUP(E468,Index!$A:$A,Index!$B:$B),"")</f>
        <v>18.75</v>
      </c>
      <c r="L468" s="238"/>
    </row>
    <row r="469" spans="1:12" x14ac:dyDescent="0.2">
      <c r="A469" s="26"/>
      <c r="B469" s="26"/>
      <c r="C469" s="94" t="s">
        <v>1182</v>
      </c>
      <c r="D469" s="35">
        <v>200</v>
      </c>
      <c r="E469" s="35" t="s">
        <v>1601</v>
      </c>
      <c r="F469" s="34">
        <f>IFERROR(_xlfn.XLOOKUP(E469,Index!$A:$A,Index!$B:$B),"")</f>
        <v>18.75</v>
      </c>
      <c r="L469" s="238"/>
    </row>
    <row r="470" spans="1:12" x14ac:dyDescent="0.2">
      <c r="A470" s="26"/>
      <c r="B470" s="26"/>
      <c r="C470" s="94" t="s">
        <v>1186</v>
      </c>
      <c r="D470" s="35">
        <v>250</v>
      </c>
      <c r="E470" s="35" t="s">
        <v>1602</v>
      </c>
      <c r="F470" s="34">
        <f>IFERROR(_xlfn.XLOOKUP(E470,Index!$A:$A,Index!$B:$B),"")</f>
        <v>26.75</v>
      </c>
      <c r="L470" s="238"/>
    </row>
    <row r="471" spans="1:12" x14ac:dyDescent="0.2">
      <c r="A471" s="26"/>
      <c r="B471" s="26"/>
      <c r="C471" s="94" t="s">
        <v>1190</v>
      </c>
      <c r="D471" s="35">
        <v>300</v>
      </c>
      <c r="E471" s="35" t="s">
        <v>1603</v>
      </c>
      <c r="F471" s="34">
        <f>IFERROR(_xlfn.XLOOKUP(E471,Index!$A:$A,Index!$B:$B),"")</f>
        <v>26.75</v>
      </c>
      <c r="L471" s="238"/>
    </row>
    <row r="472" spans="1:12" x14ac:dyDescent="0.2">
      <c r="A472" s="26"/>
      <c r="B472" s="26"/>
      <c r="C472" s="94" t="s">
        <v>1192</v>
      </c>
      <c r="D472" s="35">
        <v>350</v>
      </c>
      <c r="E472" s="35" t="s">
        <v>1604</v>
      </c>
      <c r="F472" s="34">
        <f>IFERROR(_xlfn.XLOOKUP(E472,Index!$A:$A,Index!$B:$B),"")</f>
        <v>26.75</v>
      </c>
      <c r="L472" s="238"/>
    </row>
    <row r="473" spans="1:12" x14ac:dyDescent="0.2">
      <c r="A473" s="26"/>
      <c r="B473" s="60" t="s">
        <v>1422</v>
      </c>
      <c r="C473" s="94" t="s">
        <v>1159</v>
      </c>
      <c r="D473" s="35">
        <v>50</v>
      </c>
      <c r="E473" s="35" t="s">
        <v>1507</v>
      </c>
      <c r="F473" s="34">
        <f>IFERROR(_xlfn.XLOOKUP(E473,Index!$A:$A,Index!$B:$B),"")</f>
        <v>457.5</v>
      </c>
      <c r="L473" s="238"/>
    </row>
    <row r="474" spans="1:12" x14ac:dyDescent="0.2">
      <c r="A474" s="26"/>
      <c r="B474" s="26"/>
      <c r="C474" s="94" t="s">
        <v>1460</v>
      </c>
      <c r="D474" s="35">
        <v>65</v>
      </c>
      <c r="E474" s="35" t="s">
        <v>1508</v>
      </c>
      <c r="F474" s="34">
        <f>IFERROR(_xlfn.XLOOKUP(E474,Index!$A:$A,Index!$B:$B),"")</f>
        <v>582</v>
      </c>
      <c r="L474" s="238"/>
    </row>
    <row r="475" spans="1:12" x14ac:dyDescent="0.2">
      <c r="A475" s="26"/>
      <c r="B475" s="26"/>
      <c r="C475" s="94" t="s">
        <v>1166</v>
      </c>
      <c r="D475" s="35">
        <v>80</v>
      </c>
      <c r="E475" s="35" t="s">
        <v>1509</v>
      </c>
      <c r="F475" s="34">
        <f>IFERROR(_xlfn.XLOOKUP(E475,Index!$A:$A,Index!$B:$B),"")</f>
        <v>582</v>
      </c>
      <c r="L475" s="238"/>
    </row>
    <row r="476" spans="1:12" x14ac:dyDescent="0.2">
      <c r="A476" s="26"/>
      <c r="B476" s="26"/>
      <c r="C476" s="94" t="s">
        <v>1170</v>
      </c>
      <c r="D476" s="35">
        <v>100</v>
      </c>
      <c r="E476" s="35" t="s">
        <v>1510</v>
      </c>
      <c r="F476" s="34">
        <f>IFERROR(_xlfn.XLOOKUP(E476,Index!$A:$A,Index!$B:$B),"")</f>
        <v>747.5</v>
      </c>
      <c r="L476" s="238"/>
    </row>
    <row r="477" spans="1:12" x14ac:dyDescent="0.2">
      <c r="A477" s="26"/>
      <c r="B477" s="60" t="s">
        <v>1511</v>
      </c>
      <c r="C477" s="94" t="s">
        <v>1174</v>
      </c>
      <c r="D477" s="35">
        <v>125</v>
      </c>
      <c r="E477" s="35" t="s">
        <v>1512</v>
      </c>
      <c r="F477" s="34">
        <f>IFERROR(_xlfn.XLOOKUP(E477,Index!$A:$A,Index!$B:$B),"")</f>
        <v>1662</v>
      </c>
      <c r="L477" s="238"/>
    </row>
    <row r="478" spans="1:12" x14ac:dyDescent="0.2">
      <c r="A478" s="26"/>
      <c r="B478" s="26"/>
      <c r="C478" s="94" t="s">
        <v>1178</v>
      </c>
      <c r="D478" s="35">
        <v>150</v>
      </c>
      <c r="E478" s="35" t="s">
        <v>1513</v>
      </c>
      <c r="F478" s="34">
        <f>IFERROR(_xlfn.XLOOKUP(E478,Index!$A:$A,Index!$B:$B),"")</f>
        <v>1953</v>
      </c>
      <c r="L478" s="238"/>
    </row>
    <row r="479" spans="1:12" x14ac:dyDescent="0.2">
      <c r="A479" s="26"/>
      <c r="B479" s="26"/>
      <c r="C479" s="94" t="s">
        <v>1182</v>
      </c>
      <c r="D479" s="35">
        <v>200</v>
      </c>
      <c r="E479" s="35" t="s">
        <v>1514</v>
      </c>
      <c r="F479" s="34">
        <f>IFERROR(_xlfn.XLOOKUP(E479,Index!$A:$A,Index!$B:$B),"")</f>
        <v>2325</v>
      </c>
      <c r="L479" s="238"/>
    </row>
    <row r="480" spans="1:12" x14ac:dyDescent="0.2">
      <c r="A480" s="66"/>
      <c r="B480" s="26"/>
      <c r="C480" s="94" t="s">
        <v>1186</v>
      </c>
      <c r="D480" s="35">
        <v>250</v>
      </c>
      <c r="E480" s="35" t="s">
        <v>1515</v>
      </c>
      <c r="F480" s="34">
        <f>IFERROR(_xlfn.XLOOKUP(E480,Index!$A:$A,Index!$B:$B),"")</f>
        <v>2658</v>
      </c>
      <c r="L480" s="238"/>
    </row>
    <row r="481" spans="1:12" x14ac:dyDescent="0.2">
      <c r="A481" s="26"/>
      <c r="B481" s="26"/>
      <c r="C481" s="94" t="s">
        <v>1190</v>
      </c>
      <c r="D481" s="35">
        <v>300</v>
      </c>
      <c r="E481" s="35" t="s">
        <v>1516</v>
      </c>
      <c r="F481" s="34">
        <f>IFERROR(_xlfn.XLOOKUP(E481,Index!$A:$A,Index!$B:$B),"")</f>
        <v>3157</v>
      </c>
      <c r="L481" s="238"/>
    </row>
    <row r="482" spans="1:12" x14ac:dyDescent="0.2">
      <c r="A482" s="26"/>
      <c r="B482" s="26"/>
      <c r="C482" s="94" t="s">
        <v>1192</v>
      </c>
      <c r="D482" s="35">
        <v>350</v>
      </c>
      <c r="E482" s="35" t="s">
        <v>1517</v>
      </c>
      <c r="F482" s="34">
        <f>IFERROR(_xlfn.XLOOKUP(E482,Index!$A:$A,Index!$B:$B),"")</f>
        <v>4153</v>
      </c>
      <c r="L482" s="238"/>
    </row>
    <row r="483" spans="1:12" x14ac:dyDescent="0.2">
      <c r="A483" s="26"/>
      <c r="B483" s="60" t="s">
        <v>1429</v>
      </c>
      <c r="C483" s="94" t="s">
        <v>1159</v>
      </c>
      <c r="D483" s="35">
        <v>50</v>
      </c>
      <c r="E483" s="38" t="s">
        <v>5542</v>
      </c>
      <c r="F483" s="250">
        <f>F474-25</f>
        <v>557</v>
      </c>
      <c r="L483" s="238"/>
    </row>
    <row r="484" spans="1:12" x14ac:dyDescent="0.2">
      <c r="A484" s="26"/>
      <c r="B484" s="26"/>
      <c r="C484" s="94" t="s">
        <v>1460</v>
      </c>
      <c r="D484" s="35">
        <v>65</v>
      </c>
      <c r="E484" s="35" t="s">
        <v>1518</v>
      </c>
      <c r="F484" s="34">
        <f>IFERROR(_xlfn.XLOOKUP(E484,Index!$A:$A,Index!$B:$B),"")</f>
        <v>996.5</v>
      </c>
      <c r="L484" s="238"/>
    </row>
    <row r="485" spans="1:12" x14ac:dyDescent="0.2">
      <c r="A485" s="26"/>
      <c r="B485" s="26"/>
      <c r="C485" s="94" t="s">
        <v>1166</v>
      </c>
      <c r="D485" s="35">
        <v>80</v>
      </c>
      <c r="E485" s="35" t="s">
        <v>1519</v>
      </c>
      <c r="F485" s="34">
        <f>IFERROR(_xlfn.XLOOKUP(E485,Index!$A:$A,Index!$B:$B),"")</f>
        <v>996.5</v>
      </c>
      <c r="L485" s="238"/>
    </row>
    <row r="486" spans="1:12" x14ac:dyDescent="0.2">
      <c r="A486" s="26"/>
      <c r="B486" s="26"/>
      <c r="C486" s="94" t="s">
        <v>1170</v>
      </c>
      <c r="D486" s="35">
        <v>100</v>
      </c>
      <c r="E486" s="35" t="s">
        <v>1520</v>
      </c>
      <c r="F486" s="34">
        <f>IFERROR(_xlfn.XLOOKUP(E486,Index!$A:$A,Index!$B:$B),"")</f>
        <v>1080</v>
      </c>
      <c r="L486" s="238"/>
    </row>
    <row r="487" spans="1:12" x14ac:dyDescent="0.2">
      <c r="A487" s="26"/>
      <c r="B487" s="26"/>
      <c r="C487" s="94" t="s">
        <v>1174</v>
      </c>
      <c r="D487" s="35">
        <v>125</v>
      </c>
      <c r="E487" s="35" t="s">
        <v>1521</v>
      </c>
      <c r="F487" s="34">
        <f>IFERROR(_xlfn.XLOOKUP(E487,Index!$A:$A,Index!$B:$B),"")</f>
        <v>2492</v>
      </c>
      <c r="L487" s="238"/>
    </row>
    <row r="488" spans="1:12" x14ac:dyDescent="0.2">
      <c r="A488" s="26"/>
      <c r="B488" s="26"/>
      <c r="C488" s="94" t="s">
        <v>1178</v>
      </c>
      <c r="D488" s="35">
        <v>150</v>
      </c>
      <c r="E488" s="35" t="s">
        <v>1522</v>
      </c>
      <c r="F488" s="34">
        <f>IFERROR(_xlfn.XLOOKUP(E488,Index!$A:$A,Index!$B:$B),"")</f>
        <v>2658</v>
      </c>
      <c r="L488" s="238"/>
    </row>
    <row r="489" spans="1:12" x14ac:dyDescent="0.2">
      <c r="A489" s="26"/>
      <c r="B489" s="26"/>
      <c r="C489" s="94" t="s">
        <v>1182</v>
      </c>
      <c r="D489" s="35">
        <v>200</v>
      </c>
      <c r="E489" s="35" t="s">
        <v>1523</v>
      </c>
      <c r="F489" s="34">
        <f>IFERROR(_xlfn.XLOOKUP(E489,Index!$A:$A,Index!$B:$B),"")</f>
        <v>2908</v>
      </c>
      <c r="L489" s="238"/>
    </row>
    <row r="490" spans="1:12" x14ac:dyDescent="0.2">
      <c r="A490" s="26"/>
      <c r="B490" s="26"/>
      <c r="C490" s="94" t="s">
        <v>1186</v>
      </c>
      <c r="D490" s="35">
        <v>250</v>
      </c>
      <c r="E490" s="35" t="s">
        <v>1524</v>
      </c>
      <c r="F490" s="34">
        <f>IFERROR(_xlfn.XLOOKUP(E490,Index!$A:$A,Index!$B:$B),"")</f>
        <v>3239</v>
      </c>
      <c r="L490" s="238"/>
    </row>
    <row r="491" spans="1:12" x14ac:dyDescent="0.2">
      <c r="A491" s="26"/>
      <c r="B491" s="26"/>
      <c r="C491" s="94" t="s">
        <v>1190</v>
      </c>
      <c r="D491" s="35">
        <v>300</v>
      </c>
      <c r="E491" s="38" t="s">
        <v>5542</v>
      </c>
      <c r="F491" s="250">
        <f>F490+175</f>
        <v>3414</v>
      </c>
      <c r="L491" s="238"/>
    </row>
    <row r="492" spans="1:12" x14ac:dyDescent="0.2">
      <c r="A492" s="26"/>
      <c r="B492" s="26"/>
      <c r="C492" s="94" t="s">
        <v>1192</v>
      </c>
      <c r="D492" s="35">
        <v>350</v>
      </c>
      <c r="E492" s="38" t="s">
        <v>5542</v>
      </c>
      <c r="F492" s="250">
        <f>F491+435</f>
        <v>3849</v>
      </c>
      <c r="L492" s="238"/>
    </row>
    <row r="493" spans="1:12" x14ac:dyDescent="0.2">
      <c r="A493" s="26"/>
      <c r="B493" s="60" t="s">
        <v>1435</v>
      </c>
      <c r="C493" s="94" t="s">
        <v>1159</v>
      </c>
      <c r="D493" s="35">
        <v>50</v>
      </c>
      <c r="E493" s="35" t="s">
        <v>1605</v>
      </c>
      <c r="F493" s="34">
        <f>IFERROR(_xlfn.XLOOKUP(E493,Index!$A:$A,Index!$B:$B),"")</f>
        <v>541</v>
      </c>
      <c r="L493" s="238"/>
    </row>
    <row r="494" spans="1:12" x14ac:dyDescent="0.2">
      <c r="A494" s="26"/>
      <c r="B494" s="26"/>
      <c r="C494" s="94" t="s">
        <v>1460</v>
      </c>
      <c r="D494" s="35">
        <v>65</v>
      </c>
      <c r="E494" s="35" t="s">
        <v>1525</v>
      </c>
      <c r="F494" s="34">
        <f>IFERROR(_xlfn.XLOOKUP(E494,Index!$A:$A,Index!$B:$B),"")</f>
        <v>996.5</v>
      </c>
      <c r="L494" s="238"/>
    </row>
    <row r="495" spans="1:12" x14ac:dyDescent="0.2">
      <c r="A495" s="26"/>
      <c r="B495" s="26"/>
      <c r="C495" s="94" t="s">
        <v>1166</v>
      </c>
      <c r="D495" s="35">
        <v>80</v>
      </c>
      <c r="E495" s="35" t="s">
        <v>1526</v>
      </c>
      <c r="F495" s="34">
        <f>IFERROR(_xlfn.XLOOKUP(E495,Index!$A:$A,Index!$B:$B),"")</f>
        <v>996.5</v>
      </c>
      <c r="L495" s="238"/>
    </row>
    <row r="496" spans="1:12" x14ac:dyDescent="0.2">
      <c r="A496" s="26"/>
      <c r="B496" s="26"/>
      <c r="C496" s="94" t="s">
        <v>1170</v>
      </c>
      <c r="D496" s="35">
        <v>100</v>
      </c>
      <c r="E496" s="35" t="s">
        <v>1527</v>
      </c>
      <c r="F496" s="34">
        <f>IFERROR(_xlfn.XLOOKUP(E496,Index!$A:$A,Index!$B:$B),"")</f>
        <v>1080</v>
      </c>
      <c r="L496" s="238"/>
    </row>
    <row r="497" spans="1:12" x14ac:dyDescent="0.2">
      <c r="A497" s="26"/>
      <c r="B497" s="26"/>
      <c r="C497" s="94" t="s">
        <v>1174</v>
      </c>
      <c r="D497" s="35">
        <v>125</v>
      </c>
      <c r="E497" s="35" t="s">
        <v>1528</v>
      </c>
      <c r="F497" s="34">
        <f>IFERROR(_xlfn.XLOOKUP(E497,Index!$A:$A,Index!$B:$B),"")</f>
        <v>2492</v>
      </c>
      <c r="L497" s="238"/>
    </row>
    <row r="498" spans="1:12" x14ac:dyDescent="0.2">
      <c r="A498" s="26"/>
      <c r="B498" s="26"/>
      <c r="C498" s="94" t="s">
        <v>1178</v>
      </c>
      <c r="D498" s="35">
        <v>150</v>
      </c>
      <c r="E498" s="35" t="s">
        <v>1529</v>
      </c>
      <c r="F498" s="34">
        <f>IFERROR(_xlfn.XLOOKUP(E498,Index!$A:$A,Index!$B:$B),"")</f>
        <v>2658</v>
      </c>
      <c r="L498" s="238"/>
    </row>
    <row r="499" spans="1:12" x14ac:dyDescent="0.2">
      <c r="A499" s="26"/>
      <c r="B499" s="26"/>
      <c r="C499" s="94" t="s">
        <v>1182</v>
      </c>
      <c r="D499" s="35">
        <v>200</v>
      </c>
      <c r="E499" s="35" t="s">
        <v>1530</v>
      </c>
      <c r="F499" s="34">
        <f>IFERROR(_xlfn.XLOOKUP(E499,Index!$A:$A,Index!$B:$B),"")</f>
        <v>2908</v>
      </c>
      <c r="L499" s="238"/>
    </row>
    <row r="500" spans="1:12" x14ac:dyDescent="0.2">
      <c r="A500" s="26"/>
      <c r="B500" s="26"/>
      <c r="C500" s="94" t="s">
        <v>1186</v>
      </c>
      <c r="D500" s="35">
        <v>250</v>
      </c>
      <c r="E500" s="35" t="s">
        <v>2886</v>
      </c>
      <c r="F500" s="34">
        <f>IFERROR(_xlfn.XLOOKUP(E500,Index!$A:$A,Index!$B:$B),"")</f>
        <v>3239</v>
      </c>
      <c r="L500" s="238"/>
    </row>
    <row r="501" spans="1:12" x14ac:dyDescent="0.2">
      <c r="A501" s="26"/>
      <c r="B501" s="26"/>
      <c r="C501" s="94" t="s">
        <v>1190</v>
      </c>
      <c r="D501" s="35">
        <v>300</v>
      </c>
      <c r="E501" s="38" t="s">
        <v>5542</v>
      </c>
      <c r="F501" s="250">
        <f t="shared" ref="F501:F502" si="3">F491</f>
        <v>3414</v>
      </c>
      <c r="L501" s="238"/>
    </row>
    <row r="502" spans="1:12" x14ac:dyDescent="0.2">
      <c r="A502" s="26"/>
      <c r="B502" s="26"/>
      <c r="C502" s="94" t="s">
        <v>1192</v>
      </c>
      <c r="D502" s="35">
        <v>350</v>
      </c>
      <c r="E502" s="38" t="s">
        <v>5542</v>
      </c>
      <c r="F502" s="250">
        <f t="shared" si="3"/>
        <v>3849</v>
      </c>
      <c r="L502" s="238"/>
    </row>
    <row r="503" spans="1:12" x14ac:dyDescent="0.2">
      <c r="A503" s="26"/>
      <c r="B503" s="60" t="s">
        <v>1440</v>
      </c>
      <c r="C503" s="94" t="s">
        <v>1159</v>
      </c>
      <c r="D503" s="35">
        <v>50</v>
      </c>
      <c r="E503" s="35" t="s">
        <v>1531</v>
      </c>
      <c r="F503" s="34">
        <f>IFERROR(_xlfn.XLOOKUP(E503,Index!$A:$A,Index!$B:$B),"")</f>
        <v>541</v>
      </c>
      <c r="L503" s="238"/>
    </row>
    <row r="504" spans="1:12" x14ac:dyDescent="0.2">
      <c r="A504" s="26"/>
      <c r="B504" s="26"/>
      <c r="C504" s="94" t="s">
        <v>1460</v>
      </c>
      <c r="D504" s="35">
        <v>65</v>
      </c>
      <c r="E504" s="35" t="s">
        <v>1532</v>
      </c>
      <c r="F504" s="34">
        <f>IFERROR(_xlfn.XLOOKUP(E504,Index!$A:$A,Index!$B:$B),"")</f>
        <v>996.5</v>
      </c>
      <c r="L504" s="238"/>
    </row>
    <row r="505" spans="1:12" x14ac:dyDescent="0.2">
      <c r="A505" s="26"/>
      <c r="B505" s="26"/>
      <c r="C505" s="94" t="s">
        <v>1166</v>
      </c>
      <c r="D505" s="35">
        <v>80</v>
      </c>
      <c r="E505" s="35" t="s">
        <v>1533</v>
      </c>
      <c r="F505" s="34">
        <f>IFERROR(_xlfn.XLOOKUP(E505,Index!$A:$A,Index!$B:$B),"")</f>
        <v>996.5</v>
      </c>
      <c r="L505" s="238"/>
    </row>
    <row r="506" spans="1:12" x14ac:dyDescent="0.2">
      <c r="A506" s="26"/>
      <c r="B506" s="26"/>
      <c r="C506" s="94" t="s">
        <v>1170</v>
      </c>
      <c r="D506" s="35">
        <v>100</v>
      </c>
      <c r="E506" s="35" t="s">
        <v>1534</v>
      </c>
      <c r="F506" s="34">
        <f>IFERROR(_xlfn.XLOOKUP(E506,Index!$A:$A,Index!$B:$B),"")</f>
        <v>1080</v>
      </c>
      <c r="L506" s="238"/>
    </row>
    <row r="507" spans="1:12" x14ac:dyDescent="0.2">
      <c r="A507" s="26"/>
      <c r="B507" s="26"/>
      <c r="C507" s="94" t="s">
        <v>1174</v>
      </c>
      <c r="D507" s="35">
        <v>125</v>
      </c>
      <c r="E507" s="35" t="s">
        <v>1535</v>
      </c>
      <c r="F507" s="34">
        <f>IFERROR(_xlfn.XLOOKUP(E507,Index!$A:$A,Index!$B:$B),"")</f>
        <v>2492</v>
      </c>
      <c r="L507" s="238"/>
    </row>
    <row r="508" spans="1:12" x14ac:dyDescent="0.2">
      <c r="A508" s="26"/>
      <c r="B508" s="26"/>
      <c r="C508" s="94" t="s">
        <v>1178</v>
      </c>
      <c r="D508" s="35">
        <v>150</v>
      </c>
      <c r="E508" s="35" t="s">
        <v>1536</v>
      </c>
      <c r="F508" s="34">
        <f>IFERROR(_xlfn.XLOOKUP(E508,Index!$A:$A,Index!$B:$B),"")</f>
        <v>2658</v>
      </c>
      <c r="L508" s="238"/>
    </row>
    <row r="509" spans="1:12" x14ac:dyDescent="0.2">
      <c r="A509" s="26"/>
      <c r="B509" s="26"/>
      <c r="C509" s="94" t="s">
        <v>1182</v>
      </c>
      <c r="D509" s="35">
        <v>200</v>
      </c>
      <c r="E509" s="35" t="s">
        <v>1537</v>
      </c>
      <c r="F509" s="34">
        <f>IFERROR(_xlfn.XLOOKUP(E509,Index!$A:$A,Index!$B:$B),"")</f>
        <v>2908</v>
      </c>
      <c r="L509" s="238"/>
    </row>
    <row r="510" spans="1:12" x14ac:dyDescent="0.2">
      <c r="A510" s="26"/>
      <c r="B510" s="26"/>
      <c r="C510" s="94" t="s">
        <v>1186</v>
      </c>
      <c r="D510" s="35">
        <v>250</v>
      </c>
      <c r="E510" s="35" t="s">
        <v>1538</v>
      </c>
      <c r="F510" s="34">
        <f>IFERROR(_xlfn.XLOOKUP(E510,Index!$A:$A,Index!$B:$B),"")</f>
        <v>3239</v>
      </c>
      <c r="L510" s="238"/>
    </row>
    <row r="511" spans="1:12" x14ac:dyDescent="0.2">
      <c r="A511" s="26"/>
      <c r="B511" s="26"/>
      <c r="C511" s="94" t="s">
        <v>1190</v>
      </c>
      <c r="D511" s="35">
        <v>300</v>
      </c>
      <c r="E511" s="38" t="s">
        <v>5542</v>
      </c>
      <c r="F511" s="250">
        <f t="shared" ref="F511:F512" si="4">F491</f>
        <v>3414</v>
      </c>
      <c r="L511" s="238"/>
    </row>
    <row r="512" spans="1:12" x14ac:dyDescent="0.2">
      <c r="A512" s="26"/>
      <c r="B512" s="26"/>
      <c r="C512" s="94" t="s">
        <v>1192</v>
      </c>
      <c r="D512" s="35">
        <v>350</v>
      </c>
      <c r="E512" s="38" t="s">
        <v>5542</v>
      </c>
      <c r="F512" s="250">
        <f t="shared" si="4"/>
        <v>3849</v>
      </c>
      <c r="L512" s="238"/>
    </row>
    <row r="513" spans="1:12" x14ac:dyDescent="0.2">
      <c r="A513" s="26"/>
      <c r="B513" s="60" t="s">
        <v>1445</v>
      </c>
      <c r="C513" s="94" t="s">
        <v>1159</v>
      </c>
      <c r="D513" s="35">
        <v>50</v>
      </c>
      <c r="E513" s="35" t="s">
        <v>1539</v>
      </c>
      <c r="F513" s="34">
        <f>IFERROR(_xlfn.XLOOKUP(E513,Index!$A:$A,Index!$B:$B),"")</f>
        <v>541</v>
      </c>
      <c r="L513" s="238"/>
    </row>
    <row r="514" spans="1:12" x14ac:dyDescent="0.2">
      <c r="A514" s="26"/>
      <c r="B514" s="26"/>
      <c r="C514" s="94" t="s">
        <v>1460</v>
      </c>
      <c r="D514" s="35">
        <v>65</v>
      </c>
      <c r="E514" s="35" t="s">
        <v>1540</v>
      </c>
      <c r="F514" s="34">
        <f>IFERROR(_xlfn.XLOOKUP(E514,Index!$A:$A,Index!$B:$B),"")</f>
        <v>996.5</v>
      </c>
      <c r="L514" s="238"/>
    </row>
    <row r="515" spans="1:12" x14ac:dyDescent="0.2">
      <c r="A515" s="26"/>
      <c r="B515" s="26"/>
      <c r="C515" s="94" t="s">
        <v>1166</v>
      </c>
      <c r="D515" s="35">
        <v>80</v>
      </c>
      <c r="E515" s="35" t="s">
        <v>1541</v>
      </c>
      <c r="F515" s="34">
        <f>IFERROR(_xlfn.XLOOKUP(E515,Index!$A:$A,Index!$B:$B),"")</f>
        <v>996.5</v>
      </c>
      <c r="L515" s="238"/>
    </row>
    <row r="516" spans="1:12" x14ac:dyDescent="0.2">
      <c r="A516" s="26"/>
      <c r="B516" s="26"/>
      <c r="C516" s="94" t="s">
        <v>1170</v>
      </c>
      <c r="D516" s="35">
        <v>100</v>
      </c>
      <c r="E516" s="35" t="s">
        <v>1542</v>
      </c>
      <c r="F516" s="34">
        <f>IFERROR(_xlfn.XLOOKUP(E516,Index!$A:$A,Index!$B:$B),"")</f>
        <v>1080</v>
      </c>
      <c r="L516" s="238"/>
    </row>
    <row r="517" spans="1:12" x14ac:dyDescent="0.2">
      <c r="A517" s="26"/>
      <c r="B517" s="26"/>
      <c r="C517" s="94" t="s">
        <v>1174</v>
      </c>
      <c r="D517" s="35">
        <v>125</v>
      </c>
      <c r="E517" s="38" t="s">
        <v>5542</v>
      </c>
      <c r="F517" s="250">
        <f>F507</f>
        <v>2492</v>
      </c>
      <c r="L517" s="238"/>
    </row>
    <row r="518" spans="1:12" x14ac:dyDescent="0.2">
      <c r="A518" s="26"/>
      <c r="B518" s="26"/>
      <c r="C518" s="94" t="s">
        <v>1178</v>
      </c>
      <c r="D518" s="35">
        <v>150</v>
      </c>
      <c r="E518" s="35" t="s">
        <v>1543</v>
      </c>
      <c r="F518" s="34">
        <f>IFERROR(_xlfn.XLOOKUP(E518,Index!$A:$A,Index!$B:$B),"")</f>
        <v>2658</v>
      </c>
      <c r="L518" s="238"/>
    </row>
    <row r="519" spans="1:12" x14ac:dyDescent="0.2">
      <c r="A519" s="26"/>
      <c r="B519" s="26"/>
      <c r="C519" s="94" t="s">
        <v>1182</v>
      </c>
      <c r="D519" s="35">
        <v>200</v>
      </c>
      <c r="E519" s="35" t="s">
        <v>1544</v>
      </c>
      <c r="F519" s="34">
        <f>IFERROR(_xlfn.XLOOKUP(E519,Index!$A:$A,Index!$B:$B),"")</f>
        <v>2908</v>
      </c>
      <c r="L519" s="238"/>
    </row>
    <row r="520" spans="1:12" x14ac:dyDescent="0.2">
      <c r="A520" s="26"/>
      <c r="B520" s="26"/>
      <c r="C520" s="94" t="s">
        <v>1186</v>
      </c>
      <c r="D520" s="35">
        <v>250</v>
      </c>
      <c r="E520" s="35" t="s">
        <v>1545</v>
      </c>
      <c r="F520" s="34">
        <f>IFERROR(_xlfn.XLOOKUP(E520,Index!$A:$A,Index!$B:$B),"")</f>
        <v>3239</v>
      </c>
      <c r="L520" s="238"/>
    </row>
    <row r="521" spans="1:12" x14ac:dyDescent="0.2">
      <c r="A521" s="26"/>
      <c r="B521" s="26"/>
      <c r="C521" s="94" t="s">
        <v>1190</v>
      </c>
      <c r="D521" s="35">
        <v>300</v>
      </c>
      <c r="E521" s="38" t="s">
        <v>5542</v>
      </c>
      <c r="F521" s="250">
        <f t="shared" ref="F521:F522" si="5">F491</f>
        <v>3414</v>
      </c>
      <c r="L521" s="238"/>
    </row>
    <row r="522" spans="1:12" x14ac:dyDescent="0.2">
      <c r="A522" s="26"/>
      <c r="B522" s="26"/>
      <c r="C522" s="94" t="s">
        <v>1192</v>
      </c>
      <c r="D522" s="35">
        <v>350</v>
      </c>
      <c r="E522" s="38" t="s">
        <v>5542</v>
      </c>
      <c r="F522" s="250">
        <f t="shared" si="5"/>
        <v>3849</v>
      </c>
      <c r="L522" s="238"/>
    </row>
    <row r="523" spans="1:12" x14ac:dyDescent="0.2">
      <c r="B523" s="60" t="s">
        <v>1449</v>
      </c>
      <c r="C523" s="94" t="s">
        <v>1159</v>
      </c>
      <c r="D523" s="35">
        <v>50</v>
      </c>
      <c r="E523" s="35" t="s">
        <v>1546</v>
      </c>
      <c r="F523" s="34">
        <f>IFERROR(_xlfn.XLOOKUP(E523,Index!$A:$A,Index!$B:$B),"")</f>
        <v>541</v>
      </c>
      <c r="L523" s="238"/>
    </row>
    <row r="524" spans="1:12" x14ac:dyDescent="0.2">
      <c r="B524" s="26"/>
      <c r="C524" s="94" t="s">
        <v>1460</v>
      </c>
      <c r="D524" s="35">
        <v>65</v>
      </c>
      <c r="E524" s="35" t="s">
        <v>3042</v>
      </c>
      <c r="F524" s="34">
        <f>IFERROR(_xlfn.XLOOKUP(E524,Index!$A:$A,Index!$B:$B),"")</f>
        <v>996.5</v>
      </c>
      <c r="L524" s="238"/>
    </row>
    <row r="525" spans="1:12" x14ac:dyDescent="0.2">
      <c r="B525" s="26"/>
      <c r="C525" s="94" t="s">
        <v>1166</v>
      </c>
      <c r="D525" s="35">
        <v>80</v>
      </c>
      <c r="E525" s="35" t="s">
        <v>1547</v>
      </c>
      <c r="F525" s="34">
        <f>IFERROR(_xlfn.XLOOKUP(E525,Index!$A:$A,Index!$B:$B),"")</f>
        <v>996.5</v>
      </c>
      <c r="L525" s="238"/>
    </row>
    <row r="526" spans="1:12" x14ac:dyDescent="0.2">
      <c r="B526" s="26"/>
      <c r="C526" s="94" t="s">
        <v>1170</v>
      </c>
      <c r="D526" s="35">
        <v>100</v>
      </c>
      <c r="E526" s="35" t="s">
        <v>1548</v>
      </c>
      <c r="F526" s="34">
        <f>IFERROR(_xlfn.XLOOKUP(E526,Index!$A:$A,Index!$B:$B),"")</f>
        <v>1080</v>
      </c>
      <c r="L526" s="238"/>
    </row>
    <row r="527" spans="1:12" x14ac:dyDescent="0.2">
      <c r="B527" s="26"/>
      <c r="C527" s="94" t="s">
        <v>1174</v>
      </c>
      <c r="D527" s="35">
        <v>125</v>
      </c>
      <c r="E527" s="35" t="s">
        <v>1549</v>
      </c>
      <c r="F527" s="34">
        <f>IFERROR(_xlfn.XLOOKUP(E527,Index!$A:$A,Index!$B:$B),"")</f>
        <v>2492</v>
      </c>
      <c r="L527" s="238"/>
    </row>
    <row r="528" spans="1:12" x14ac:dyDescent="0.2">
      <c r="B528" s="26"/>
      <c r="C528" s="94" t="s">
        <v>1178</v>
      </c>
      <c r="D528" s="35">
        <v>150</v>
      </c>
      <c r="E528" s="35" t="s">
        <v>1550</v>
      </c>
      <c r="F528" s="34">
        <f>IFERROR(_xlfn.XLOOKUP(E528,Index!$A:$A,Index!$B:$B),"")</f>
        <v>2658</v>
      </c>
      <c r="L528" s="238"/>
    </row>
    <row r="529" spans="1:12" x14ac:dyDescent="0.2">
      <c r="B529" s="26"/>
      <c r="C529" s="94" t="s">
        <v>1182</v>
      </c>
      <c r="D529" s="35">
        <v>200</v>
      </c>
      <c r="E529" s="35" t="s">
        <v>1551</v>
      </c>
      <c r="F529" s="34">
        <f>IFERROR(_xlfn.XLOOKUP(E529,Index!$A:$A,Index!$B:$B),"")</f>
        <v>2908</v>
      </c>
      <c r="L529" s="238"/>
    </row>
    <row r="530" spans="1:12" x14ac:dyDescent="0.2">
      <c r="B530" s="26"/>
      <c r="C530" s="94" t="s">
        <v>1186</v>
      </c>
      <c r="D530" s="35">
        <v>250</v>
      </c>
      <c r="E530" s="35" t="s">
        <v>1552</v>
      </c>
      <c r="F530" s="34">
        <f>IFERROR(_xlfn.XLOOKUP(E530,Index!$A:$A,Index!$B:$B),"")</f>
        <v>3239</v>
      </c>
      <c r="L530" s="238"/>
    </row>
    <row r="531" spans="1:12" x14ac:dyDescent="0.2">
      <c r="B531" s="26"/>
      <c r="C531" s="94" t="s">
        <v>1190</v>
      </c>
      <c r="D531" s="35">
        <v>300</v>
      </c>
      <c r="E531" s="35" t="s">
        <v>1553</v>
      </c>
      <c r="F531" s="34">
        <f>IFERROR(_xlfn.XLOOKUP(E531,Index!$A:$A,Index!$B:$B),"")</f>
        <v>3532</v>
      </c>
      <c r="L531" s="238"/>
    </row>
    <row r="532" spans="1:12" x14ac:dyDescent="0.2">
      <c r="A532" s="244"/>
      <c r="B532" s="27"/>
      <c r="C532" s="94" t="s">
        <v>1192</v>
      </c>
      <c r="D532" s="35">
        <v>350</v>
      </c>
      <c r="E532" s="38" t="s">
        <v>5542</v>
      </c>
      <c r="F532" s="250">
        <f>$F$522</f>
        <v>3849</v>
      </c>
      <c r="L532" s="238"/>
    </row>
    <row r="533" spans="1:12" x14ac:dyDescent="0.2">
      <c r="B533" s="12"/>
      <c r="C533" s="3"/>
      <c r="D533" s="4"/>
      <c r="E533" s="4"/>
      <c r="F533" s="19"/>
      <c r="G533" s="4"/>
      <c r="H533" s="19"/>
      <c r="I533" s="19"/>
      <c r="J533" s="84"/>
      <c r="L533" s="238"/>
    </row>
    <row r="534" spans="1:12" x14ac:dyDescent="0.2">
      <c r="B534" s="12"/>
      <c r="C534" s="3"/>
      <c r="D534" s="4"/>
      <c r="E534" s="4"/>
      <c r="F534" s="19"/>
      <c r="G534" s="4"/>
      <c r="H534" s="19"/>
      <c r="I534" s="19"/>
      <c r="J534" s="84"/>
      <c r="L534" s="238"/>
    </row>
    <row r="535" spans="1:12" x14ac:dyDescent="0.2">
      <c r="A535" s="12"/>
      <c r="B535" s="12"/>
      <c r="C535" s="4"/>
      <c r="D535" s="4"/>
      <c r="E535" s="73"/>
      <c r="F535" s="83"/>
      <c r="G535" s="4"/>
      <c r="H535" s="19"/>
      <c r="I535" s="19"/>
      <c r="J535" s="84"/>
      <c r="L535" s="238"/>
    </row>
    <row r="536" spans="1:12" ht="15.75" x14ac:dyDescent="0.2">
      <c r="A536" s="71" t="s">
        <v>1606</v>
      </c>
      <c r="B536" s="71" t="s">
        <v>33</v>
      </c>
      <c r="C536" s="4"/>
      <c r="D536" s="4"/>
      <c r="E536" s="73"/>
      <c r="F536" s="83"/>
      <c r="G536" s="4"/>
      <c r="H536" s="19"/>
      <c r="I536" s="19"/>
      <c r="J536" s="84"/>
      <c r="L536" s="238"/>
    </row>
    <row r="537" spans="1:12" ht="15.75" x14ac:dyDescent="0.2">
      <c r="A537" s="48" t="s">
        <v>1607</v>
      </c>
      <c r="B537" s="11"/>
      <c r="C537" s="4"/>
      <c r="D537" s="4"/>
      <c r="E537" s="5"/>
      <c r="F537" s="9"/>
      <c r="G537" s="4"/>
      <c r="H537" s="19"/>
      <c r="I537" s="19"/>
      <c r="J537" s="20"/>
      <c r="L537" s="238"/>
    </row>
    <row r="538" spans="1:12" ht="24" x14ac:dyDescent="0.2">
      <c r="A538" s="25" t="s">
        <v>35</v>
      </c>
      <c r="B538" s="28" t="s">
        <v>36</v>
      </c>
      <c r="C538" s="333" t="s">
        <v>37</v>
      </c>
      <c r="D538" s="334"/>
      <c r="E538" s="335" t="s">
        <v>38</v>
      </c>
      <c r="F538" s="336"/>
      <c r="G538" s="335" t="s">
        <v>39</v>
      </c>
      <c r="H538" s="336"/>
      <c r="I538" s="29" t="s">
        <v>1271</v>
      </c>
      <c r="J538" s="24" t="s">
        <v>41</v>
      </c>
      <c r="L538" s="238"/>
    </row>
    <row r="539" spans="1:12" x14ac:dyDescent="0.2">
      <c r="A539" s="32"/>
      <c r="B539" s="32"/>
      <c r="C539" s="33" t="s">
        <v>42</v>
      </c>
      <c r="D539" s="33" t="s">
        <v>43</v>
      </c>
      <c r="E539" s="33" t="s">
        <v>44</v>
      </c>
      <c r="F539" s="33" t="s">
        <v>45</v>
      </c>
      <c r="G539" s="33" t="s">
        <v>46</v>
      </c>
      <c r="H539" s="39" t="s">
        <v>47</v>
      </c>
      <c r="I539" s="33"/>
      <c r="J539" s="41"/>
      <c r="L539" s="238"/>
    </row>
    <row r="540" spans="1:12" x14ac:dyDescent="0.2">
      <c r="A540" s="26" t="s">
        <v>1608</v>
      </c>
      <c r="B540" s="26" t="s">
        <v>1609</v>
      </c>
      <c r="C540" s="30" t="s">
        <v>50</v>
      </c>
      <c r="D540" s="35" t="s">
        <v>176</v>
      </c>
      <c r="E540" s="82" t="s">
        <v>1159</v>
      </c>
      <c r="F540" s="37">
        <v>50</v>
      </c>
      <c r="G540" s="35">
        <v>40</v>
      </c>
      <c r="H540" s="40">
        <v>18</v>
      </c>
      <c r="I540" s="38" t="s">
        <v>1610</v>
      </c>
      <c r="J540" s="34">
        <f>IFERROR(_xlfn.XLOOKUP(I540,Index!$A:$A,Index!$B:$B),"")</f>
        <v>1448</v>
      </c>
      <c r="L540" s="238"/>
    </row>
    <row r="541" spans="1:12" x14ac:dyDescent="0.2">
      <c r="A541" s="26"/>
      <c r="B541" s="26"/>
      <c r="C541" s="30"/>
      <c r="D541" s="35" t="s">
        <v>176</v>
      </c>
      <c r="E541" s="82" t="s">
        <v>1460</v>
      </c>
      <c r="F541" s="37">
        <v>65</v>
      </c>
      <c r="G541" s="35">
        <v>30</v>
      </c>
      <c r="H541" s="40">
        <v>14</v>
      </c>
      <c r="I541" s="38" t="s">
        <v>1611</v>
      </c>
      <c r="J541" s="34">
        <f>IFERROR(_xlfn.XLOOKUP(I541,Index!$A:$A,Index!$B:$B),"")</f>
        <v>1529</v>
      </c>
      <c r="L541" s="238"/>
    </row>
    <row r="542" spans="1:12" x14ac:dyDescent="0.2">
      <c r="A542" s="26"/>
      <c r="B542" s="26"/>
      <c r="C542" s="30"/>
      <c r="D542" s="35" t="s">
        <v>176</v>
      </c>
      <c r="E542" s="82" t="s">
        <v>1166</v>
      </c>
      <c r="F542" s="37">
        <v>80</v>
      </c>
      <c r="G542" s="35">
        <v>52</v>
      </c>
      <c r="H542" s="40">
        <v>24</v>
      </c>
      <c r="I542" s="38" t="s">
        <v>1612</v>
      </c>
      <c r="J542" s="34">
        <f>IFERROR(_xlfn.XLOOKUP(I542,Index!$A:$A,Index!$B:$B),"")</f>
        <v>1716</v>
      </c>
      <c r="L542" s="238"/>
    </row>
    <row r="543" spans="1:12" x14ac:dyDescent="0.2">
      <c r="A543" s="26"/>
      <c r="B543" s="26"/>
      <c r="C543" s="30"/>
      <c r="D543" s="35" t="s">
        <v>176</v>
      </c>
      <c r="E543" s="82" t="s">
        <v>1170</v>
      </c>
      <c r="F543" s="37">
        <v>100</v>
      </c>
      <c r="G543" s="35">
        <v>90</v>
      </c>
      <c r="H543" s="40">
        <v>41</v>
      </c>
      <c r="I543" s="38" t="s">
        <v>1613</v>
      </c>
      <c r="J543" s="34">
        <f>IFERROR(_xlfn.XLOOKUP(I543,Index!$A:$A,Index!$B:$B),"")</f>
        <v>2356</v>
      </c>
      <c r="L543" s="238"/>
    </row>
    <row r="544" spans="1:12" x14ac:dyDescent="0.2">
      <c r="A544" s="26"/>
      <c r="B544" s="26"/>
      <c r="C544" s="30"/>
      <c r="D544" s="35" t="s">
        <v>241</v>
      </c>
      <c r="E544" s="82" t="s">
        <v>1174</v>
      </c>
      <c r="F544" s="37">
        <v>125</v>
      </c>
      <c r="G544" s="35">
        <v>128</v>
      </c>
      <c r="H544" s="40">
        <v>58</v>
      </c>
      <c r="I544" s="38" t="s">
        <v>1614</v>
      </c>
      <c r="J544" s="34">
        <f>IFERROR(_xlfn.XLOOKUP(I544,Index!$A:$A,Index!$B:$B),"")</f>
        <v>2942</v>
      </c>
      <c r="L544" s="238"/>
    </row>
    <row r="545" spans="1:12" x14ac:dyDescent="0.2">
      <c r="A545" s="26"/>
      <c r="B545" s="26"/>
      <c r="C545" s="30"/>
      <c r="D545" s="35" t="s">
        <v>241</v>
      </c>
      <c r="E545" s="82" t="s">
        <v>1178</v>
      </c>
      <c r="F545" s="37">
        <v>150</v>
      </c>
      <c r="G545" s="35">
        <v>224</v>
      </c>
      <c r="H545" s="40">
        <v>102</v>
      </c>
      <c r="I545" s="38" t="s">
        <v>1615</v>
      </c>
      <c r="J545" s="34">
        <f>IFERROR(_xlfn.XLOOKUP(I545,Index!$A:$A,Index!$B:$B),"")</f>
        <v>3776</v>
      </c>
      <c r="L545" s="238"/>
    </row>
    <row r="546" spans="1:12" x14ac:dyDescent="0.2">
      <c r="A546" s="26"/>
      <c r="B546" s="26"/>
      <c r="C546" s="30"/>
      <c r="D546" s="35" t="s">
        <v>241</v>
      </c>
      <c r="E546" s="82" t="s">
        <v>1182</v>
      </c>
      <c r="F546" s="37">
        <v>200</v>
      </c>
      <c r="G546" s="35">
        <v>240</v>
      </c>
      <c r="H546" s="40">
        <v>109</v>
      </c>
      <c r="I546" s="38" t="s">
        <v>1616</v>
      </c>
      <c r="J546" s="34">
        <f>IFERROR(_xlfn.XLOOKUP(I546,Index!$A:$A,Index!$B:$B),"")</f>
        <v>5806</v>
      </c>
      <c r="L546" s="238"/>
    </row>
    <row r="547" spans="1:12" x14ac:dyDescent="0.2">
      <c r="A547" s="27"/>
      <c r="B547" s="27"/>
      <c r="C547" s="31"/>
      <c r="D547" s="35" t="s">
        <v>241</v>
      </c>
      <c r="E547" s="82" t="s">
        <v>1186</v>
      </c>
      <c r="F547" s="37">
        <v>250</v>
      </c>
      <c r="G547" s="35">
        <v>460</v>
      </c>
      <c r="H547" s="40">
        <v>209</v>
      </c>
      <c r="I547" s="38" t="s">
        <v>1617</v>
      </c>
      <c r="J547" s="34">
        <f>IFERROR(_xlfn.XLOOKUP(I547,Index!$A:$A,Index!$B:$B),"")</f>
        <v>9757</v>
      </c>
      <c r="L547" s="238"/>
    </row>
    <row r="548" spans="1:12" x14ac:dyDescent="0.2">
      <c r="L548" s="238"/>
    </row>
    <row r="549" spans="1:12" x14ac:dyDescent="0.2">
      <c r="L549" s="238"/>
    </row>
    <row r="550" spans="1:12" x14ac:dyDescent="0.2">
      <c r="L550" s="238"/>
    </row>
    <row r="551" spans="1:12" x14ac:dyDescent="0.2">
      <c r="L551" s="238"/>
    </row>
    <row r="552" spans="1:12" ht="15.75" x14ac:dyDescent="0.2">
      <c r="A552" s="71" t="s">
        <v>1606</v>
      </c>
      <c r="B552" s="18"/>
      <c r="C552" s="18"/>
      <c r="D552" s="49"/>
      <c r="E552" s="50"/>
      <c r="F552" s="101"/>
      <c r="L552" s="238"/>
    </row>
    <row r="553" spans="1:12" ht="15.75" x14ac:dyDescent="0.2">
      <c r="A553" s="48" t="s">
        <v>102</v>
      </c>
      <c r="B553" s="57"/>
      <c r="C553" s="58"/>
      <c r="D553" s="58"/>
      <c r="E553" s="59"/>
      <c r="F553" s="101"/>
      <c r="L553" s="238"/>
    </row>
    <row r="554" spans="1:12" x14ac:dyDescent="0.2">
      <c r="A554" s="25" t="s">
        <v>35</v>
      </c>
      <c r="B554" s="28" t="s">
        <v>103</v>
      </c>
      <c r="C554" s="335" t="s">
        <v>38</v>
      </c>
      <c r="D554" s="336"/>
      <c r="E554" s="42" t="s">
        <v>40</v>
      </c>
      <c r="F554" s="43" t="s">
        <v>41</v>
      </c>
      <c r="L554" s="238"/>
    </row>
    <row r="555" spans="1:12" x14ac:dyDescent="0.2">
      <c r="A555" s="32"/>
      <c r="B555" s="32"/>
      <c r="C555" s="33" t="s">
        <v>44</v>
      </c>
      <c r="D555" s="33" t="s">
        <v>45</v>
      </c>
      <c r="E555" s="33"/>
      <c r="F555" s="44"/>
      <c r="L555" s="238"/>
    </row>
    <row r="556" spans="1:12" x14ac:dyDescent="0.2">
      <c r="A556" s="60" t="s">
        <v>1608</v>
      </c>
      <c r="B556" s="60" t="s">
        <v>104</v>
      </c>
      <c r="C556" s="65">
        <v>2</v>
      </c>
      <c r="D556" s="35">
        <v>50</v>
      </c>
      <c r="E556" s="35" t="s">
        <v>1596</v>
      </c>
      <c r="F556" s="34">
        <f>IFERROR(_xlfn.XLOOKUP(E556,Index!$A:$A,Index!$B:$B),"")</f>
        <v>9</v>
      </c>
      <c r="L556" s="238"/>
    </row>
    <row r="557" spans="1:12" x14ac:dyDescent="0.2">
      <c r="A557" s="26"/>
      <c r="B557" s="26"/>
      <c r="C557" s="65">
        <v>2.5</v>
      </c>
      <c r="D557" s="35">
        <v>65</v>
      </c>
      <c r="E557" s="35" t="s">
        <v>420</v>
      </c>
      <c r="F557" s="34">
        <f>IFERROR(_xlfn.XLOOKUP(E557,Index!$A:$A,Index!$B:$B),"")</f>
        <v>12.25</v>
      </c>
      <c r="L557" s="238"/>
    </row>
    <row r="558" spans="1:12" x14ac:dyDescent="0.2">
      <c r="A558" s="26"/>
      <c r="B558" s="26"/>
      <c r="C558" s="65">
        <v>3</v>
      </c>
      <c r="D558" s="35">
        <v>80</v>
      </c>
      <c r="E558" s="35" t="s">
        <v>1597</v>
      </c>
      <c r="F558" s="34">
        <f>IFERROR(_xlfn.XLOOKUP(E558,Index!$A:$A,Index!$B:$B),"")</f>
        <v>12.5</v>
      </c>
      <c r="L558" s="238"/>
    </row>
    <row r="559" spans="1:12" x14ac:dyDescent="0.2">
      <c r="A559" s="26"/>
      <c r="B559" s="26"/>
      <c r="C559" s="65">
        <v>4</v>
      </c>
      <c r="D559" s="35">
        <v>100</v>
      </c>
      <c r="E559" s="35" t="s">
        <v>1598</v>
      </c>
      <c r="F559" s="34">
        <f>IFERROR(_xlfn.XLOOKUP(E559,Index!$A:$A,Index!$B:$B),"")</f>
        <v>15</v>
      </c>
      <c r="L559" s="238"/>
    </row>
    <row r="560" spans="1:12" x14ac:dyDescent="0.2">
      <c r="A560" s="26"/>
      <c r="B560" s="26"/>
      <c r="C560" s="65">
        <v>5</v>
      </c>
      <c r="D560" s="35">
        <v>125</v>
      </c>
      <c r="E560" s="35" t="s">
        <v>1599</v>
      </c>
      <c r="F560" s="34">
        <f>IFERROR(_xlfn.XLOOKUP(E560,Index!$A:$A,Index!$B:$B),"")</f>
        <v>18.75</v>
      </c>
      <c r="L560" s="238"/>
    </row>
    <row r="561" spans="1:12" x14ac:dyDescent="0.2">
      <c r="A561" s="26"/>
      <c r="B561" s="26"/>
      <c r="C561" s="65">
        <v>6</v>
      </c>
      <c r="D561" s="35">
        <v>150</v>
      </c>
      <c r="E561" s="35" t="s">
        <v>1600</v>
      </c>
      <c r="F561" s="34">
        <f>IFERROR(_xlfn.XLOOKUP(E561,Index!$A:$A,Index!$B:$B),"")</f>
        <v>18.75</v>
      </c>
      <c r="L561" s="238"/>
    </row>
    <row r="562" spans="1:12" x14ac:dyDescent="0.2">
      <c r="A562" s="26"/>
      <c r="B562" s="26"/>
      <c r="C562" s="65">
        <v>8</v>
      </c>
      <c r="D562" s="35">
        <v>200</v>
      </c>
      <c r="E562" s="35" t="s">
        <v>1601</v>
      </c>
      <c r="F562" s="34">
        <f>IFERROR(_xlfn.XLOOKUP(E562,Index!$A:$A,Index!$B:$B),"")</f>
        <v>18.75</v>
      </c>
      <c r="L562" s="238"/>
    </row>
    <row r="563" spans="1:12" x14ac:dyDescent="0.2">
      <c r="A563" s="26"/>
      <c r="B563" s="26"/>
      <c r="C563" s="65">
        <v>10</v>
      </c>
      <c r="D563" s="35">
        <v>250</v>
      </c>
      <c r="E563" s="35" t="s">
        <v>1602</v>
      </c>
      <c r="F563" s="34">
        <f>IFERROR(_xlfn.XLOOKUP(E563,Index!$A:$A,Index!$B:$B),"")</f>
        <v>26.75</v>
      </c>
      <c r="L563" s="238"/>
    </row>
    <row r="564" spans="1:12" x14ac:dyDescent="0.2">
      <c r="A564" s="66"/>
      <c r="B564" s="60" t="s">
        <v>210</v>
      </c>
      <c r="C564" s="65">
        <v>2</v>
      </c>
      <c r="D564" s="35">
        <v>50</v>
      </c>
      <c r="E564" s="35" t="s">
        <v>1507</v>
      </c>
      <c r="F564" s="34">
        <f>IFERROR(_xlfn.XLOOKUP(E564,Index!$A:$A,Index!$B:$B),"")</f>
        <v>457.5</v>
      </c>
      <c r="L564" s="238"/>
    </row>
    <row r="565" spans="1:12" x14ac:dyDescent="0.2">
      <c r="A565" s="26"/>
      <c r="B565" s="26"/>
      <c r="C565" s="65">
        <v>2.5</v>
      </c>
      <c r="D565" s="35">
        <v>65</v>
      </c>
      <c r="E565" s="35" t="s">
        <v>1508</v>
      </c>
      <c r="F565" s="34">
        <f>IFERROR(_xlfn.XLOOKUP(E565,Index!$A:$A,Index!$B:$B),"")</f>
        <v>582</v>
      </c>
      <c r="L565" s="238"/>
    </row>
    <row r="566" spans="1:12" x14ac:dyDescent="0.2">
      <c r="A566" s="26"/>
      <c r="B566" s="26"/>
      <c r="C566" s="65">
        <v>3</v>
      </c>
      <c r="D566" s="35">
        <v>80</v>
      </c>
      <c r="E566" s="35" t="s">
        <v>1618</v>
      </c>
      <c r="F566" s="34">
        <f>IFERROR(_xlfn.XLOOKUP(E566,Index!$A:$A,Index!$B:$B),"")</f>
        <v>582</v>
      </c>
      <c r="L566" s="238"/>
    </row>
    <row r="567" spans="1:12" x14ac:dyDescent="0.2">
      <c r="A567" s="26"/>
      <c r="B567" s="26"/>
      <c r="C567" s="65">
        <v>4</v>
      </c>
      <c r="D567" s="35">
        <v>100</v>
      </c>
      <c r="E567" s="35" t="s">
        <v>1619</v>
      </c>
      <c r="F567" s="34">
        <f>IFERROR(_xlfn.XLOOKUP(E567,Index!$A:$A,Index!$B:$B),"")</f>
        <v>747.5</v>
      </c>
      <c r="L567" s="238"/>
    </row>
    <row r="568" spans="1:12" x14ac:dyDescent="0.2">
      <c r="A568" s="26"/>
      <c r="B568" s="60" t="s">
        <v>298</v>
      </c>
      <c r="C568" s="65">
        <v>5</v>
      </c>
      <c r="D568" s="35">
        <v>125</v>
      </c>
      <c r="E568" s="35" t="s">
        <v>1512</v>
      </c>
      <c r="F568" s="34">
        <f>IFERROR(_xlfn.XLOOKUP(E568,Index!$A:$A,Index!$B:$B),"")</f>
        <v>1662</v>
      </c>
      <c r="L568" s="238"/>
    </row>
    <row r="569" spans="1:12" x14ac:dyDescent="0.2">
      <c r="A569" s="26"/>
      <c r="B569" s="26"/>
      <c r="C569" s="65">
        <v>6</v>
      </c>
      <c r="D569" s="35">
        <v>150</v>
      </c>
      <c r="E569" s="35" t="s">
        <v>1513</v>
      </c>
      <c r="F569" s="34">
        <f>IFERROR(_xlfn.XLOOKUP(E569,Index!$A:$A,Index!$B:$B),"")</f>
        <v>1953</v>
      </c>
      <c r="L569" s="238"/>
    </row>
    <row r="570" spans="1:12" x14ac:dyDescent="0.2">
      <c r="A570" s="66"/>
      <c r="B570" s="26"/>
      <c r="C570" s="65">
        <v>8</v>
      </c>
      <c r="D570" s="35">
        <v>200</v>
      </c>
      <c r="E570" s="35" t="s">
        <v>1514</v>
      </c>
      <c r="F570" s="34">
        <f>IFERROR(_xlfn.XLOOKUP(E570,Index!$A:$A,Index!$B:$B),"")</f>
        <v>2325</v>
      </c>
      <c r="L570" s="238"/>
    </row>
    <row r="571" spans="1:12" x14ac:dyDescent="0.2">
      <c r="A571" s="26"/>
      <c r="B571" s="26"/>
      <c r="C571" s="65">
        <v>10</v>
      </c>
      <c r="D571" s="35">
        <v>250</v>
      </c>
      <c r="E571" s="35" t="s">
        <v>1515</v>
      </c>
      <c r="F571" s="34">
        <f>IFERROR(_xlfn.XLOOKUP(E571,Index!$A:$A,Index!$B:$B),"")</f>
        <v>2658</v>
      </c>
      <c r="L571" s="238"/>
    </row>
    <row r="572" spans="1:12" x14ac:dyDescent="0.2">
      <c r="A572" s="26"/>
      <c r="B572" s="60" t="s">
        <v>211</v>
      </c>
      <c r="C572" s="65">
        <v>2</v>
      </c>
      <c r="D572" s="35">
        <v>50</v>
      </c>
      <c r="E572" s="38" t="s">
        <v>5542</v>
      </c>
      <c r="F572" s="250">
        <f>F588</f>
        <v>541</v>
      </c>
      <c r="L572" s="238"/>
    </row>
    <row r="573" spans="1:12" x14ac:dyDescent="0.2">
      <c r="A573" s="26"/>
      <c r="B573" s="26"/>
      <c r="C573" s="65">
        <v>2.5</v>
      </c>
      <c r="D573" s="35">
        <v>65</v>
      </c>
      <c r="E573" s="35" t="s">
        <v>1518</v>
      </c>
      <c r="F573" s="34">
        <f>IFERROR(_xlfn.XLOOKUP(E573,Index!$A:$A,Index!$B:$B),"")</f>
        <v>996.5</v>
      </c>
      <c r="L573" s="238"/>
    </row>
    <row r="574" spans="1:12" x14ac:dyDescent="0.2">
      <c r="A574" s="26"/>
      <c r="B574" s="26"/>
      <c r="C574" s="65">
        <v>3</v>
      </c>
      <c r="D574" s="35">
        <v>80</v>
      </c>
      <c r="E574" s="35" t="s">
        <v>1519</v>
      </c>
      <c r="F574" s="34">
        <f>IFERROR(_xlfn.XLOOKUP(E574,Index!$A:$A,Index!$B:$B),"")</f>
        <v>996.5</v>
      </c>
      <c r="L574" s="238"/>
    </row>
    <row r="575" spans="1:12" x14ac:dyDescent="0.2">
      <c r="A575" s="26"/>
      <c r="B575" s="26"/>
      <c r="C575" s="65">
        <v>4</v>
      </c>
      <c r="D575" s="35">
        <v>100</v>
      </c>
      <c r="E575" s="35" t="s">
        <v>1520</v>
      </c>
      <c r="F575" s="34">
        <f>IFERROR(_xlfn.XLOOKUP(E575,Index!$A:$A,Index!$B:$B),"")</f>
        <v>1080</v>
      </c>
      <c r="L575" s="238"/>
    </row>
    <row r="576" spans="1:12" x14ac:dyDescent="0.2">
      <c r="A576" s="26"/>
      <c r="B576" s="26"/>
      <c r="C576" s="65">
        <v>5</v>
      </c>
      <c r="D576" s="35">
        <v>125</v>
      </c>
      <c r="E576" s="35" t="s">
        <v>1521</v>
      </c>
      <c r="F576" s="34">
        <f>IFERROR(_xlfn.XLOOKUP(E576,Index!$A:$A,Index!$B:$B),"")</f>
        <v>2492</v>
      </c>
      <c r="L576" s="238"/>
    </row>
    <row r="577" spans="1:12" x14ac:dyDescent="0.2">
      <c r="A577" s="26"/>
      <c r="B577" s="26"/>
      <c r="C577" s="65">
        <v>6</v>
      </c>
      <c r="D577" s="35">
        <v>150</v>
      </c>
      <c r="E577" s="35" t="s">
        <v>1522</v>
      </c>
      <c r="F577" s="34">
        <f>IFERROR(_xlfn.XLOOKUP(E577,Index!$A:$A,Index!$B:$B),"")</f>
        <v>2658</v>
      </c>
      <c r="L577" s="238"/>
    </row>
    <row r="578" spans="1:12" x14ac:dyDescent="0.2">
      <c r="A578" s="26"/>
      <c r="B578" s="26"/>
      <c r="C578" s="65">
        <v>8</v>
      </c>
      <c r="D578" s="35">
        <v>200</v>
      </c>
      <c r="E578" s="35" t="s">
        <v>1523</v>
      </c>
      <c r="F578" s="34">
        <f>IFERROR(_xlfn.XLOOKUP(E578,Index!$A:$A,Index!$B:$B),"")</f>
        <v>2908</v>
      </c>
      <c r="L578" s="238"/>
    </row>
    <row r="579" spans="1:12" x14ac:dyDescent="0.2">
      <c r="A579" s="26"/>
      <c r="B579" s="26"/>
      <c r="C579" s="65">
        <v>10</v>
      </c>
      <c r="D579" s="35">
        <v>250</v>
      </c>
      <c r="E579" s="35" t="s">
        <v>1524</v>
      </c>
      <c r="F579" s="34">
        <f>IFERROR(_xlfn.XLOOKUP(E579,Index!$A:$A,Index!$B:$B),"")</f>
        <v>3239</v>
      </c>
      <c r="L579" s="238"/>
    </row>
    <row r="580" spans="1:12" x14ac:dyDescent="0.2">
      <c r="A580" s="26"/>
      <c r="B580" s="60" t="s">
        <v>122</v>
      </c>
      <c r="C580" s="65">
        <v>2</v>
      </c>
      <c r="D580" s="35">
        <v>50</v>
      </c>
      <c r="E580" s="35" t="s">
        <v>1605</v>
      </c>
      <c r="F580" s="34">
        <f>IFERROR(_xlfn.XLOOKUP(E580,Index!$A:$A,Index!$B:$B),"")</f>
        <v>541</v>
      </c>
      <c r="L580" s="238"/>
    </row>
    <row r="581" spans="1:12" x14ac:dyDescent="0.2">
      <c r="A581" s="26"/>
      <c r="B581" s="26"/>
      <c r="C581" s="65">
        <v>2.5</v>
      </c>
      <c r="D581" s="35">
        <v>65</v>
      </c>
      <c r="E581" s="35" t="s">
        <v>1525</v>
      </c>
      <c r="F581" s="34">
        <f>IFERROR(_xlfn.XLOOKUP(E581,Index!$A:$A,Index!$B:$B),"")</f>
        <v>996.5</v>
      </c>
      <c r="L581" s="238"/>
    </row>
    <row r="582" spans="1:12" x14ac:dyDescent="0.2">
      <c r="A582" s="26"/>
      <c r="B582" s="26"/>
      <c r="C582" s="65">
        <v>3</v>
      </c>
      <c r="D582" s="35">
        <v>80</v>
      </c>
      <c r="E582" s="35" t="s">
        <v>1526</v>
      </c>
      <c r="F582" s="34">
        <f>IFERROR(_xlfn.XLOOKUP(E582,Index!$A:$A,Index!$B:$B),"")</f>
        <v>996.5</v>
      </c>
      <c r="L582" s="238"/>
    </row>
    <row r="583" spans="1:12" x14ac:dyDescent="0.2">
      <c r="A583" s="26"/>
      <c r="B583" s="26"/>
      <c r="C583" s="65">
        <v>4</v>
      </c>
      <c r="D583" s="35">
        <v>100</v>
      </c>
      <c r="E583" s="35" t="s">
        <v>1527</v>
      </c>
      <c r="F583" s="34">
        <f>IFERROR(_xlfn.XLOOKUP(E583,Index!$A:$A,Index!$B:$B),"")</f>
        <v>1080</v>
      </c>
      <c r="L583" s="238"/>
    </row>
    <row r="584" spans="1:12" x14ac:dyDescent="0.2">
      <c r="A584" s="26"/>
      <c r="B584" s="26"/>
      <c r="C584" s="65">
        <v>5</v>
      </c>
      <c r="D584" s="35">
        <v>125</v>
      </c>
      <c r="E584" s="35" t="s">
        <v>1528</v>
      </c>
      <c r="F584" s="34">
        <f>IFERROR(_xlfn.XLOOKUP(E584,Index!$A:$A,Index!$B:$B),"")</f>
        <v>2492</v>
      </c>
      <c r="L584" s="238"/>
    </row>
    <row r="585" spans="1:12" x14ac:dyDescent="0.2">
      <c r="A585" s="26"/>
      <c r="B585" s="26"/>
      <c r="C585" s="65">
        <v>6</v>
      </c>
      <c r="D585" s="35">
        <v>150</v>
      </c>
      <c r="E585" s="35" t="s">
        <v>1529</v>
      </c>
      <c r="F585" s="34">
        <f>IFERROR(_xlfn.XLOOKUP(E585,Index!$A:$A,Index!$B:$B),"")</f>
        <v>2658</v>
      </c>
      <c r="L585" s="238"/>
    </row>
    <row r="586" spans="1:12" x14ac:dyDescent="0.2">
      <c r="A586" s="26"/>
      <c r="B586" s="26"/>
      <c r="C586" s="65">
        <v>8</v>
      </c>
      <c r="D586" s="35">
        <v>200</v>
      </c>
      <c r="E586" s="35" t="s">
        <v>1530</v>
      </c>
      <c r="F586" s="34">
        <f>IFERROR(_xlfn.XLOOKUP(E586,Index!$A:$A,Index!$B:$B),"")</f>
        <v>2908</v>
      </c>
      <c r="L586" s="238"/>
    </row>
    <row r="587" spans="1:12" x14ac:dyDescent="0.2">
      <c r="A587" s="26"/>
      <c r="B587" s="26"/>
      <c r="C587" s="65">
        <v>10</v>
      </c>
      <c r="D587" s="35">
        <v>250</v>
      </c>
      <c r="E587" s="38" t="s">
        <v>5542</v>
      </c>
      <c r="F587" s="250">
        <f>F603</f>
        <v>3239</v>
      </c>
      <c r="L587" s="238"/>
    </row>
    <row r="588" spans="1:12" x14ac:dyDescent="0.2">
      <c r="A588" s="26"/>
      <c r="B588" s="60" t="s">
        <v>134</v>
      </c>
      <c r="C588" s="65">
        <v>2</v>
      </c>
      <c r="D588" s="35">
        <v>50</v>
      </c>
      <c r="E588" s="35" t="s">
        <v>1531</v>
      </c>
      <c r="F588" s="34">
        <f>IFERROR(_xlfn.XLOOKUP(E588,Index!$A:$A,Index!$B:$B),"")</f>
        <v>541</v>
      </c>
      <c r="L588" s="238"/>
    </row>
    <row r="589" spans="1:12" x14ac:dyDescent="0.2">
      <c r="A589" s="26"/>
      <c r="B589" s="26"/>
      <c r="C589" s="65">
        <v>2.5</v>
      </c>
      <c r="D589" s="35">
        <v>65</v>
      </c>
      <c r="E589" s="35" t="s">
        <v>1532</v>
      </c>
      <c r="F589" s="34">
        <f>IFERROR(_xlfn.XLOOKUP(E589,Index!$A:$A,Index!$B:$B),"")</f>
        <v>996.5</v>
      </c>
      <c r="L589" s="238"/>
    </row>
    <row r="590" spans="1:12" x14ac:dyDescent="0.2">
      <c r="A590" s="26"/>
      <c r="B590" s="26"/>
      <c r="C590" s="65">
        <v>3</v>
      </c>
      <c r="D590" s="35">
        <v>80</v>
      </c>
      <c r="E590" s="35" t="s">
        <v>1533</v>
      </c>
      <c r="F590" s="34">
        <f>IFERROR(_xlfn.XLOOKUP(E590,Index!$A:$A,Index!$B:$B),"")</f>
        <v>996.5</v>
      </c>
      <c r="L590" s="238"/>
    </row>
    <row r="591" spans="1:12" x14ac:dyDescent="0.2">
      <c r="A591" s="26"/>
      <c r="B591" s="26"/>
      <c r="C591" s="65">
        <v>4</v>
      </c>
      <c r="D591" s="35">
        <v>100</v>
      </c>
      <c r="E591" s="35" t="s">
        <v>1534</v>
      </c>
      <c r="F591" s="34">
        <f>IFERROR(_xlfn.XLOOKUP(E591,Index!$A:$A,Index!$B:$B),"")</f>
        <v>1080</v>
      </c>
      <c r="L591" s="238"/>
    </row>
    <row r="592" spans="1:12" x14ac:dyDescent="0.2">
      <c r="A592" s="26"/>
      <c r="B592" s="26"/>
      <c r="C592" s="65">
        <v>5</v>
      </c>
      <c r="D592" s="35">
        <v>125</v>
      </c>
      <c r="E592" s="35" t="s">
        <v>1535</v>
      </c>
      <c r="F592" s="34">
        <f>IFERROR(_xlfn.XLOOKUP(E592,Index!$A:$A,Index!$B:$B),"")</f>
        <v>2492</v>
      </c>
      <c r="L592" s="238"/>
    </row>
    <row r="593" spans="1:12" x14ac:dyDescent="0.2">
      <c r="A593" s="26"/>
      <c r="B593" s="26"/>
      <c r="C593" s="65">
        <v>6</v>
      </c>
      <c r="D593" s="35">
        <v>150</v>
      </c>
      <c r="E593" s="35" t="s">
        <v>1536</v>
      </c>
      <c r="F593" s="34">
        <f>IFERROR(_xlfn.XLOOKUP(E593,Index!$A:$A,Index!$B:$B),"")</f>
        <v>2658</v>
      </c>
      <c r="L593" s="238"/>
    </row>
    <row r="594" spans="1:12" x14ac:dyDescent="0.2">
      <c r="A594" s="26"/>
      <c r="B594" s="26"/>
      <c r="C594" s="65">
        <v>8</v>
      </c>
      <c r="D594" s="35">
        <v>200</v>
      </c>
      <c r="E594" s="35" t="s">
        <v>1537</v>
      </c>
      <c r="F594" s="34">
        <f>IFERROR(_xlfn.XLOOKUP(E594,Index!$A:$A,Index!$B:$B),"")</f>
        <v>2908</v>
      </c>
      <c r="L594" s="238"/>
    </row>
    <row r="595" spans="1:12" x14ac:dyDescent="0.2">
      <c r="A595" s="26"/>
      <c r="B595" s="26"/>
      <c r="C595" s="65">
        <v>10</v>
      </c>
      <c r="D595" s="35">
        <v>250</v>
      </c>
      <c r="E595" s="35" t="s">
        <v>1538</v>
      </c>
      <c r="F595" s="34">
        <f>IFERROR(_xlfn.XLOOKUP(E595,Index!$A:$A,Index!$B:$B),"")</f>
        <v>3239</v>
      </c>
      <c r="L595" s="238"/>
    </row>
    <row r="596" spans="1:12" x14ac:dyDescent="0.2">
      <c r="A596" s="26"/>
      <c r="B596" s="60" t="s">
        <v>145</v>
      </c>
      <c r="C596" s="65">
        <v>2</v>
      </c>
      <c r="D596" s="35">
        <v>50</v>
      </c>
      <c r="E596" s="35" t="s">
        <v>1539</v>
      </c>
      <c r="F596" s="34">
        <f>IFERROR(_xlfn.XLOOKUP(E596,Index!$A:$A,Index!$B:$B),"")</f>
        <v>541</v>
      </c>
      <c r="L596" s="238"/>
    </row>
    <row r="597" spans="1:12" x14ac:dyDescent="0.2">
      <c r="A597" s="26"/>
      <c r="B597" s="26"/>
      <c r="C597" s="65">
        <v>2.5</v>
      </c>
      <c r="D597" s="35">
        <v>65</v>
      </c>
      <c r="E597" s="35" t="s">
        <v>1540</v>
      </c>
      <c r="F597" s="34">
        <f>IFERROR(_xlfn.XLOOKUP(E597,Index!$A:$A,Index!$B:$B),"")</f>
        <v>996.5</v>
      </c>
      <c r="L597" s="238"/>
    </row>
    <row r="598" spans="1:12" x14ac:dyDescent="0.2">
      <c r="A598" s="26"/>
      <c r="B598" s="26"/>
      <c r="C598" s="65">
        <v>3</v>
      </c>
      <c r="D598" s="35">
        <v>80</v>
      </c>
      <c r="E598" s="35" t="s">
        <v>1541</v>
      </c>
      <c r="F598" s="34">
        <f>IFERROR(_xlfn.XLOOKUP(E598,Index!$A:$A,Index!$B:$B),"")</f>
        <v>996.5</v>
      </c>
      <c r="L598" s="238"/>
    </row>
    <row r="599" spans="1:12" x14ac:dyDescent="0.2">
      <c r="A599" s="26"/>
      <c r="B599" s="26"/>
      <c r="C599" s="65">
        <v>4</v>
      </c>
      <c r="D599" s="35">
        <v>100</v>
      </c>
      <c r="E599" s="35" t="s">
        <v>1542</v>
      </c>
      <c r="F599" s="34">
        <f>IFERROR(_xlfn.XLOOKUP(E599,Index!$A:$A,Index!$B:$B),"")</f>
        <v>1080</v>
      </c>
      <c r="L599" s="238"/>
    </row>
    <row r="600" spans="1:12" x14ac:dyDescent="0.2">
      <c r="A600" s="26"/>
      <c r="B600" s="26"/>
      <c r="C600" s="65">
        <v>5</v>
      </c>
      <c r="D600" s="35">
        <v>125</v>
      </c>
      <c r="E600" s="38" t="s">
        <v>5542</v>
      </c>
      <c r="F600" s="250">
        <f>F592</f>
        <v>2492</v>
      </c>
      <c r="L600" s="238"/>
    </row>
    <row r="601" spans="1:12" x14ac:dyDescent="0.2">
      <c r="A601" s="26"/>
      <c r="B601" s="26"/>
      <c r="C601" s="65">
        <v>6</v>
      </c>
      <c r="D601" s="35">
        <v>150</v>
      </c>
      <c r="E601" s="35" t="s">
        <v>1543</v>
      </c>
      <c r="F601" s="34">
        <f>IFERROR(_xlfn.XLOOKUP(E601,Index!$A:$A,Index!$B:$B),"")</f>
        <v>2658</v>
      </c>
      <c r="L601" s="238"/>
    </row>
    <row r="602" spans="1:12" x14ac:dyDescent="0.2">
      <c r="A602" s="26"/>
      <c r="B602" s="26"/>
      <c r="C602" s="65">
        <v>8</v>
      </c>
      <c r="D602" s="35">
        <v>200</v>
      </c>
      <c r="E602" s="35" t="s">
        <v>1544</v>
      </c>
      <c r="F602" s="34">
        <f>IFERROR(_xlfn.XLOOKUP(E602,Index!$A:$A,Index!$B:$B),"")</f>
        <v>2908</v>
      </c>
      <c r="L602" s="238"/>
    </row>
    <row r="603" spans="1:12" x14ac:dyDescent="0.2">
      <c r="A603" s="26"/>
      <c r="B603" s="26"/>
      <c r="C603" s="65">
        <v>10</v>
      </c>
      <c r="D603" s="35">
        <v>250</v>
      </c>
      <c r="E603" s="35" t="s">
        <v>1545</v>
      </c>
      <c r="F603" s="34">
        <f>IFERROR(_xlfn.XLOOKUP(E603,Index!$A:$A,Index!$B:$B),"")</f>
        <v>3239</v>
      </c>
      <c r="L603" s="238"/>
    </row>
    <row r="604" spans="1:12" x14ac:dyDescent="0.2">
      <c r="A604" s="26"/>
      <c r="B604" s="60" t="s">
        <v>155</v>
      </c>
      <c r="C604" s="65">
        <v>2</v>
      </c>
      <c r="D604" s="35">
        <v>50</v>
      </c>
      <c r="E604" s="35" t="s">
        <v>1546</v>
      </c>
      <c r="F604" s="34">
        <f>IFERROR(_xlfn.XLOOKUP(E604,Index!$A:$A,Index!$B:$B),"")</f>
        <v>541</v>
      </c>
      <c r="L604" s="238"/>
    </row>
    <row r="605" spans="1:12" x14ac:dyDescent="0.2">
      <c r="A605" s="26"/>
      <c r="B605" s="26"/>
      <c r="C605" s="65">
        <v>2.5</v>
      </c>
      <c r="D605" s="35">
        <v>65</v>
      </c>
      <c r="E605" s="35" t="s">
        <v>3042</v>
      </c>
      <c r="F605" s="34">
        <f>IFERROR(_xlfn.XLOOKUP(E605,Index!$A:$A,Index!$B:$B),"")</f>
        <v>996.5</v>
      </c>
      <c r="L605" s="238"/>
    </row>
    <row r="606" spans="1:12" x14ac:dyDescent="0.2">
      <c r="A606" s="26"/>
      <c r="B606" s="26"/>
      <c r="C606" s="65">
        <v>3</v>
      </c>
      <c r="D606" s="35">
        <v>80</v>
      </c>
      <c r="E606" s="35" t="s">
        <v>1547</v>
      </c>
      <c r="F606" s="34">
        <f>IFERROR(_xlfn.XLOOKUP(E606,Index!$A:$A,Index!$B:$B),"")</f>
        <v>996.5</v>
      </c>
      <c r="L606" s="238"/>
    </row>
    <row r="607" spans="1:12" x14ac:dyDescent="0.2">
      <c r="A607" s="26"/>
      <c r="B607" s="26"/>
      <c r="C607" s="65">
        <v>4</v>
      </c>
      <c r="D607" s="35">
        <v>100</v>
      </c>
      <c r="E607" s="35" t="s">
        <v>1548</v>
      </c>
      <c r="F607" s="34">
        <f>IFERROR(_xlfn.XLOOKUP(E607,Index!$A:$A,Index!$B:$B),"")</f>
        <v>1080</v>
      </c>
      <c r="L607" s="238"/>
    </row>
    <row r="608" spans="1:12" x14ac:dyDescent="0.2">
      <c r="A608" s="26"/>
      <c r="B608" s="26"/>
      <c r="C608" s="65">
        <v>5</v>
      </c>
      <c r="D608" s="35">
        <v>125</v>
      </c>
      <c r="E608" s="35" t="s">
        <v>1549</v>
      </c>
      <c r="F608" s="34">
        <f>IFERROR(_xlfn.XLOOKUP(E608,Index!$A:$A,Index!$B:$B),"")</f>
        <v>2492</v>
      </c>
      <c r="L608" s="238"/>
    </row>
    <row r="609" spans="1:12" x14ac:dyDescent="0.2">
      <c r="A609" s="26"/>
      <c r="B609" s="26"/>
      <c r="C609" s="65">
        <v>6</v>
      </c>
      <c r="D609" s="35">
        <v>150</v>
      </c>
      <c r="E609" s="35" t="s">
        <v>1550</v>
      </c>
      <c r="F609" s="34">
        <f>IFERROR(_xlfn.XLOOKUP(E609,Index!$A:$A,Index!$B:$B),"")</f>
        <v>2658</v>
      </c>
      <c r="L609" s="238"/>
    </row>
    <row r="610" spans="1:12" x14ac:dyDescent="0.2">
      <c r="A610" s="26"/>
      <c r="B610" s="26"/>
      <c r="C610" s="65">
        <v>8</v>
      </c>
      <c r="D610" s="35">
        <v>200</v>
      </c>
      <c r="E610" s="35" t="s">
        <v>1551</v>
      </c>
      <c r="F610" s="34">
        <f>IFERROR(_xlfn.XLOOKUP(E610,Index!$A:$A,Index!$B:$B),"")</f>
        <v>2908</v>
      </c>
      <c r="L610" s="238"/>
    </row>
    <row r="611" spans="1:12" x14ac:dyDescent="0.2">
      <c r="A611" s="27"/>
      <c r="B611" s="27"/>
      <c r="C611" s="65">
        <v>10</v>
      </c>
      <c r="D611" s="35">
        <v>250</v>
      </c>
      <c r="E611" s="35" t="s">
        <v>1552</v>
      </c>
      <c r="F611" s="34">
        <f>IFERROR(_xlfn.XLOOKUP(E611,Index!$A:$A,Index!$B:$B),"")</f>
        <v>3239</v>
      </c>
      <c r="L611" s="238"/>
    </row>
    <row r="612" spans="1:12" x14ac:dyDescent="0.2">
      <c r="L612" s="238"/>
    </row>
    <row r="613" spans="1:12" x14ac:dyDescent="0.2">
      <c r="L613" s="238"/>
    </row>
    <row r="614" spans="1:12" x14ac:dyDescent="0.2">
      <c r="L614" s="238"/>
    </row>
  </sheetData>
  <mergeCells count="29">
    <mergeCell ref="G284:H284"/>
    <mergeCell ref="E284:F284"/>
    <mergeCell ref="C284:D284"/>
    <mergeCell ref="C182:D182"/>
    <mergeCell ref="C50:D50"/>
    <mergeCell ref="C35:D35"/>
    <mergeCell ref="E35:F35"/>
    <mergeCell ref="G35:H35"/>
    <mergeCell ref="C165:D165"/>
    <mergeCell ref="E165:F165"/>
    <mergeCell ref="G165:H165"/>
    <mergeCell ref="G127:H127"/>
    <mergeCell ref="E127:F127"/>
    <mergeCell ref="C127:D127"/>
    <mergeCell ref="C554:D554"/>
    <mergeCell ref="C320:D320"/>
    <mergeCell ref="E320:F320"/>
    <mergeCell ref="G320:H320"/>
    <mergeCell ref="C446:D446"/>
    <mergeCell ref="E446:F446"/>
    <mergeCell ref="G446:H446"/>
    <mergeCell ref="C461:D461"/>
    <mergeCell ref="C334:D334"/>
    <mergeCell ref="G538:H538"/>
    <mergeCell ref="E538:F538"/>
    <mergeCell ref="C538:D538"/>
    <mergeCell ref="G409:H409"/>
    <mergeCell ref="E409:F409"/>
    <mergeCell ref="C409:D409"/>
  </mergeCells>
  <conditionalFormatting sqref="D51 F125:F126 F128:F159 F282:F283 F285:F319">
    <cfRule type="expression" dxfId="889" priority="71">
      <formula>D51="Not a valid item #"</formula>
    </cfRule>
    <cfRule type="expression" dxfId="888" priority="72">
      <formula>D51="Not in NPSLS"</formula>
    </cfRule>
    <cfRule type="expression" dxfId="887" priority="73">
      <formula>D51="Obsolete"</formula>
    </cfRule>
    <cfRule type="expression" dxfId="886" priority="74">
      <formula>D51=""</formula>
    </cfRule>
    <cfRule type="expression" dxfId="885" priority="75">
      <formula>D51="List Price"</formula>
    </cfRule>
  </conditionalFormatting>
  <conditionalFormatting sqref="D117:D123">
    <cfRule type="expression" dxfId="884" priority="16">
      <formula>D117="Not a valid item #"</formula>
    </cfRule>
    <cfRule type="expression" dxfId="883" priority="17">
      <formula>D117="Not in NPSLS"</formula>
    </cfRule>
    <cfRule type="expression" dxfId="882" priority="18">
      <formula>D117="Obsolete"</formula>
    </cfRule>
    <cfRule type="expression" dxfId="881" priority="19">
      <formula>D117=""</formula>
    </cfRule>
    <cfRule type="expression" dxfId="880" priority="20">
      <formula>D117="List Price"</formula>
    </cfRule>
  </conditionalFormatting>
  <conditionalFormatting sqref="D274:D280">
    <cfRule type="expression" dxfId="879" priority="11">
      <formula>D274="Not a valid item #"</formula>
    </cfRule>
    <cfRule type="expression" dxfId="878" priority="12">
      <formula>D274="Not in NPSLS"</formula>
    </cfRule>
    <cfRule type="expression" dxfId="877" priority="13">
      <formula>D274="Obsolete"</formula>
    </cfRule>
    <cfRule type="expression" dxfId="876" priority="14">
      <formula>D274=""</formula>
    </cfRule>
    <cfRule type="expression" dxfId="875" priority="15">
      <formula>D274="List Price"</formula>
    </cfRule>
  </conditionalFormatting>
  <conditionalFormatting sqref="D335">
    <cfRule type="expression" dxfId="874" priority="1">
      <formula>D335="Not a valid item #"</formula>
    </cfRule>
    <cfRule type="expression" dxfId="873" priority="2">
      <formula>D335="Not in NPSLS"</formula>
    </cfRule>
    <cfRule type="expression" dxfId="872" priority="3">
      <formula>D335="Obsolete"</formula>
    </cfRule>
    <cfRule type="expression" dxfId="871" priority="4">
      <formula>D335=""</formula>
    </cfRule>
    <cfRule type="expression" dxfId="870" priority="5">
      <formula>D335="List Price"</formula>
    </cfRule>
  </conditionalFormatting>
  <conditionalFormatting sqref="D555">
    <cfRule type="expression" dxfId="869" priority="51">
      <formula>D555="Not a valid item #"</formula>
    </cfRule>
    <cfRule type="expression" dxfId="868" priority="52">
      <formula>D555="Not in NPSLS"</formula>
    </cfRule>
    <cfRule type="expression" dxfId="867" priority="53">
      <formula>D555="Obsolete"</formula>
    </cfRule>
    <cfRule type="expression" dxfId="866" priority="54">
      <formula>D555=""</formula>
    </cfRule>
    <cfRule type="expression" dxfId="865" priority="55">
      <formula>D555="List Price"</formula>
    </cfRule>
  </conditionalFormatting>
  <conditionalFormatting sqref="F2:F29 F535:F537 F539:F547">
    <cfRule type="expression" dxfId="864" priority="96">
      <formula>F2="Not a valid item #"</formula>
    </cfRule>
    <cfRule type="expression" dxfId="863" priority="97">
      <formula>F2="Not in NPSLS"</formula>
    </cfRule>
    <cfRule type="expression" dxfId="862" priority="98">
      <formula>F2="Obsolete"</formula>
    </cfRule>
    <cfRule type="expression" dxfId="861" priority="99">
      <formula>F2=""</formula>
    </cfRule>
    <cfRule type="expression" dxfId="860" priority="100">
      <formula>F2="List Price"</formula>
    </cfRule>
  </conditionalFormatting>
  <conditionalFormatting sqref="F33:F34 F36 F38:F44">
    <cfRule type="expression" dxfId="859" priority="66">
      <formula>F33="Not a valid item #"</formula>
    </cfRule>
    <cfRule type="expression" dxfId="858" priority="67">
      <formula>F33="Not in NPSLS"</formula>
    </cfRule>
    <cfRule type="expression" dxfId="857" priority="68">
      <formula>F33="Obsolete"</formula>
    </cfRule>
    <cfRule type="expression" dxfId="856" priority="69">
      <formula>F33=""</formula>
    </cfRule>
    <cfRule type="expression" dxfId="855" priority="70">
      <formula>F33="List Price"</formula>
    </cfRule>
  </conditionalFormatting>
  <conditionalFormatting sqref="F48:F49">
    <cfRule type="expression" dxfId="854" priority="76">
      <formula>F48="Not a valid item #"</formula>
    </cfRule>
    <cfRule type="expression" dxfId="853" priority="77">
      <formula>F48="Not in NPSLS"</formula>
    </cfRule>
    <cfRule type="expression" dxfId="852" priority="78">
      <formula>F48="Obsolete"</formula>
    </cfRule>
    <cfRule type="expression" dxfId="851" priority="79">
      <formula>F48=""</formula>
    </cfRule>
    <cfRule type="expression" dxfId="850" priority="80">
      <formula>F48="List Price"</formula>
    </cfRule>
  </conditionalFormatting>
  <conditionalFormatting sqref="F163:F164 F166 F168:F177">
    <cfRule type="expression" dxfId="849" priority="61">
      <formula>F163="Not a valid item #"</formula>
    </cfRule>
    <cfRule type="expression" dxfId="848" priority="62">
      <formula>F163="Not in NPSLS"</formula>
    </cfRule>
    <cfRule type="expression" dxfId="847" priority="63">
      <formula>F163="Obsolete"</formula>
    </cfRule>
    <cfRule type="expression" dxfId="846" priority="64">
      <formula>F163=""</formula>
    </cfRule>
    <cfRule type="expression" dxfId="845" priority="65">
      <formula>F163="List Price"</formula>
    </cfRule>
  </conditionalFormatting>
  <conditionalFormatting sqref="F180:F181 D183">
    <cfRule type="expression" dxfId="844" priority="86">
      <formula>D180="Not a valid item #"</formula>
    </cfRule>
    <cfRule type="expression" dxfId="843" priority="87">
      <formula>D180="Not in NPSLS"</formula>
    </cfRule>
    <cfRule type="expression" dxfId="842" priority="88">
      <formula>D180="Obsolete"</formula>
    </cfRule>
    <cfRule type="expression" dxfId="841" priority="89">
      <formula>D180=""</formula>
    </cfRule>
    <cfRule type="expression" dxfId="840" priority="90">
      <formula>D180="List Price"</formula>
    </cfRule>
  </conditionalFormatting>
  <conditionalFormatting sqref="F321">
    <cfRule type="expression" dxfId="839" priority="41">
      <formula>F321="Not a valid item #"</formula>
    </cfRule>
    <cfRule type="expression" dxfId="838" priority="42">
      <formula>F321="Not in NPSLS"</formula>
    </cfRule>
    <cfRule type="expression" dxfId="837" priority="43">
      <formula>F321="Obsolete"</formula>
    </cfRule>
    <cfRule type="expression" dxfId="836" priority="44">
      <formula>F321=""</formula>
    </cfRule>
    <cfRule type="expression" dxfId="835" priority="45">
      <formula>F321="List Price"</formula>
    </cfRule>
  </conditionalFormatting>
  <conditionalFormatting sqref="F323:F333">
    <cfRule type="expression" dxfId="834" priority="6">
      <formula>F323="Not a valid item #"</formula>
    </cfRule>
    <cfRule type="expression" dxfId="833" priority="7">
      <formula>F323="Not in NPSLS"</formula>
    </cfRule>
    <cfRule type="expression" dxfId="832" priority="8">
      <formula>F323="Obsolete"</formula>
    </cfRule>
    <cfRule type="expression" dxfId="831" priority="9">
      <formula>F323=""</formula>
    </cfRule>
    <cfRule type="expression" dxfId="830" priority="10">
      <formula>F323="List Price"</formula>
    </cfRule>
  </conditionalFormatting>
  <conditionalFormatting sqref="F407:F408 F410:F440">
    <cfRule type="expression" dxfId="829" priority="31">
      <formula>F407="Not a valid item #"</formula>
    </cfRule>
    <cfRule type="expression" dxfId="828" priority="32">
      <formula>F407="Not in NPSLS"</formula>
    </cfRule>
    <cfRule type="expression" dxfId="827" priority="33">
      <formula>F407="Obsolete"</formula>
    </cfRule>
    <cfRule type="expression" dxfId="826" priority="34">
      <formula>F407=""</formula>
    </cfRule>
    <cfRule type="expression" dxfId="825" priority="35">
      <formula>F407="List Price"</formula>
    </cfRule>
  </conditionalFormatting>
  <conditionalFormatting sqref="F444:F445 F447 F449:F456">
    <cfRule type="expression" dxfId="824" priority="26">
      <formula>F444="Not a valid item #"</formula>
    </cfRule>
    <cfRule type="expression" dxfId="823" priority="27">
      <formula>F444="Not in NPSLS"</formula>
    </cfRule>
    <cfRule type="expression" dxfId="822" priority="28">
      <formula>F444="Obsolete"</formula>
    </cfRule>
    <cfRule type="expression" dxfId="821" priority="29">
      <formula>F444=""</formula>
    </cfRule>
    <cfRule type="expression" dxfId="820" priority="30">
      <formula>F444="List Price"</formula>
    </cfRule>
  </conditionalFormatting>
  <conditionalFormatting sqref="F459:F460 D462">
    <cfRule type="expression" dxfId="819" priority="21">
      <formula>D459="Not a valid item #"</formula>
    </cfRule>
    <cfRule type="expression" dxfId="818" priority="22">
      <formula>D459="Not in NPSLS"</formula>
    </cfRule>
    <cfRule type="expression" dxfId="817" priority="23">
      <formula>D459="Obsolete"</formula>
    </cfRule>
    <cfRule type="expression" dxfId="816" priority="24">
      <formula>D459=""</formula>
    </cfRule>
    <cfRule type="expression" dxfId="815" priority="25">
      <formula>D459="List Price"</formula>
    </cfRule>
  </conditionalFormatting>
  <conditionalFormatting sqref="F552:F553">
    <cfRule type="expression" dxfId="814" priority="56">
      <formula>F552="Not a valid item #"</formula>
    </cfRule>
    <cfRule type="expression" dxfId="813" priority="57">
      <formula>F552="Not in NPSLS"</formula>
    </cfRule>
    <cfRule type="expression" dxfId="812" priority="58">
      <formula>F552="Obsolete"</formula>
    </cfRule>
    <cfRule type="expression" dxfId="811" priority="59">
      <formula>F552=""</formula>
    </cfRule>
    <cfRule type="expression" dxfId="810" priority="60">
      <formula>F552="List Price"</formula>
    </cfRule>
  </conditionalFormatting>
  <hyperlinks>
    <hyperlink ref="A1" location="'Table of Contents'!A1" display="Return Home" xr:uid="{562F7BC6-1BF4-4B21-9DAE-0BD58070187C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A48-2240-4C97-8A49-970C3C2F169B}">
  <sheetPr codeName="Sheet9"/>
  <dimension ref="A1:M581"/>
  <sheetViews>
    <sheetView showGridLines="0" zoomScale="80" zoomScaleNormal="80" workbookViewId="0"/>
  </sheetViews>
  <sheetFormatPr defaultColWidth="8.7109375" defaultRowHeight="14.25" x14ac:dyDescent="0.2"/>
  <cols>
    <col min="1" max="1" width="28.28515625" style="238" customWidth="1"/>
    <col min="2" max="2" width="22.28515625" style="238" bestFit="1" customWidth="1"/>
    <col min="3" max="3" width="9.85546875" style="238" customWidth="1"/>
    <col min="4" max="4" width="8.7109375" style="238"/>
    <col min="5" max="5" width="12.28515625" style="238" customWidth="1"/>
    <col min="6" max="6" width="13.28515625" style="238" customWidth="1"/>
    <col min="7" max="8" width="8.7109375" style="238"/>
    <col min="9" max="9" width="11.28515625" style="238" customWidth="1"/>
    <col min="10" max="10" width="13.7109375" style="238" bestFit="1" customWidth="1"/>
    <col min="11" max="11" width="15.140625" style="238" bestFit="1" customWidth="1"/>
    <col min="12" max="12" width="10.85546875" style="246" bestFit="1" customWidth="1"/>
    <col min="13" max="13" width="16.7109375" style="238" customWidth="1"/>
    <col min="14" max="16384" width="8.7109375" style="238"/>
  </cols>
  <sheetData>
    <row r="1" spans="1:12" ht="15" x14ac:dyDescent="0.25">
      <c r="A1" s="255" t="s">
        <v>5540</v>
      </c>
      <c r="L1" s="238"/>
    </row>
    <row r="2" spans="1:12" ht="17.100000000000001" customHeight="1" x14ac:dyDescent="0.2">
      <c r="A2" s="62" t="s">
        <v>1620</v>
      </c>
      <c r="B2" s="62" t="s">
        <v>647</v>
      </c>
      <c r="C2" s="243"/>
      <c r="D2" s="3"/>
      <c r="E2" s="8"/>
      <c r="F2" s="9"/>
      <c r="G2" s="10"/>
      <c r="H2" s="19"/>
      <c r="I2" s="19"/>
      <c r="J2" s="20"/>
      <c r="L2" s="238"/>
    </row>
    <row r="3" spans="1:12" ht="15.75" x14ac:dyDescent="0.2">
      <c r="A3" s="48" t="s">
        <v>5561</v>
      </c>
      <c r="B3" s="11"/>
      <c r="C3" s="4"/>
      <c r="D3" s="4"/>
      <c r="E3" s="5"/>
      <c r="F3" s="9"/>
      <c r="G3" s="4"/>
      <c r="H3" s="19"/>
      <c r="I3" s="19"/>
      <c r="J3" s="20"/>
      <c r="L3" s="238"/>
    </row>
    <row r="4" spans="1:12" ht="24" x14ac:dyDescent="0.2">
      <c r="A4" s="25" t="s">
        <v>35</v>
      </c>
      <c r="B4" s="28" t="s">
        <v>36</v>
      </c>
      <c r="C4" s="333" t="s">
        <v>37</v>
      </c>
      <c r="D4" s="339"/>
      <c r="E4" s="337" t="s">
        <v>38</v>
      </c>
      <c r="F4" s="337"/>
      <c r="G4" s="337" t="s">
        <v>39</v>
      </c>
      <c r="H4" s="336"/>
      <c r="I4" s="29" t="s">
        <v>1271</v>
      </c>
      <c r="J4" s="24" t="s">
        <v>41</v>
      </c>
      <c r="L4" s="238"/>
    </row>
    <row r="5" spans="1:12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38"/>
    </row>
    <row r="6" spans="1:12" x14ac:dyDescent="0.2">
      <c r="A6" s="26" t="s">
        <v>1621</v>
      </c>
      <c r="B6" s="26" t="s">
        <v>1298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38">
        <v>2.2999999999999998</v>
      </c>
      <c r="I6" s="38" t="s">
        <v>1622</v>
      </c>
      <c r="J6" s="34">
        <f>IFERROR(_xlfn.XLOOKUP(I6,Index!$A:$A,Index!$B:$B),"")</f>
        <v>511.5</v>
      </c>
      <c r="L6" s="238"/>
    </row>
    <row r="7" spans="1:12" x14ac:dyDescent="0.2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38">
        <v>2.2999999999999998</v>
      </c>
      <c r="I7" s="38" t="s">
        <v>5648</v>
      </c>
      <c r="J7" s="34">
        <f>IFERROR(_xlfn.XLOOKUP(I7,Index!$A:$A,Index!$B:$B),"")</f>
        <v>537.5</v>
      </c>
      <c r="L7" s="238"/>
    </row>
    <row r="8" spans="1:12" x14ac:dyDescent="0.2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38">
        <v>2.2999999999999998</v>
      </c>
      <c r="I8" s="38" t="s">
        <v>1623</v>
      </c>
      <c r="J8" s="34">
        <f>IFERROR(_xlfn.XLOOKUP(I8,Index!$A:$A,Index!$B:$B),"")</f>
        <v>537.5</v>
      </c>
      <c r="L8" s="238"/>
    </row>
    <row r="9" spans="1:12" x14ac:dyDescent="0.2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1624</v>
      </c>
      <c r="J9" s="34">
        <f>IFERROR(_xlfn.XLOOKUP(I9,Index!$A:$A,Index!$B:$B),"")</f>
        <v>511.5</v>
      </c>
      <c r="L9" s="238"/>
    </row>
    <row r="10" spans="1:12" x14ac:dyDescent="0.2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5649</v>
      </c>
      <c r="J10" s="34">
        <f>IFERROR(_xlfn.XLOOKUP(I10,Index!$A:$A,Index!$B:$B),"")</f>
        <v>537.5</v>
      </c>
      <c r="L10" s="238"/>
    </row>
    <row r="11" spans="1:12" x14ac:dyDescent="0.2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1625</v>
      </c>
      <c r="J11" s="34">
        <f>IFERROR(_xlfn.XLOOKUP(I11,Index!$A:$A,Index!$B:$B),"")</f>
        <v>537.5</v>
      </c>
      <c r="L11" s="238"/>
    </row>
    <row r="12" spans="1:12" x14ac:dyDescent="0.2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7</v>
      </c>
      <c r="H12" s="38">
        <v>3.2</v>
      </c>
      <c r="I12" s="38" t="s">
        <v>1626</v>
      </c>
      <c r="J12" s="34">
        <f>IFERROR(_xlfn.XLOOKUP(I12,Index!$A:$A,Index!$B:$B),"")</f>
        <v>685.5</v>
      </c>
      <c r="L12" s="238"/>
    </row>
    <row r="13" spans="1:12" x14ac:dyDescent="0.2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7</v>
      </c>
      <c r="H13" s="38">
        <v>3.2</v>
      </c>
      <c r="I13" s="38" t="s">
        <v>1627</v>
      </c>
      <c r="J13" s="34">
        <f>IFERROR(_xlfn.XLOOKUP(I13,Index!$A:$A,Index!$B:$B),"")</f>
        <v>720.5</v>
      </c>
      <c r="L13" s="238"/>
    </row>
    <row r="14" spans="1:12" x14ac:dyDescent="0.2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7</v>
      </c>
      <c r="H14" s="38">
        <v>3.2</v>
      </c>
      <c r="I14" s="38" t="s">
        <v>1628</v>
      </c>
      <c r="J14" s="34">
        <f>IFERROR(_xlfn.XLOOKUP(I14,Index!$A:$A,Index!$B:$B),"")</f>
        <v>720.5</v>
      </c>
      <c r="L14" s="238"/>
    </row>
    <row r="15" spans="1:12" x14ac:dyDescent="0.2">
      <c r="A15" s="26"/>
      <c r="B15" s="26"/>
      <c r="C15" s="30"/>
      <c r="D15" s="35" t="s">
        <v>176</v>
      </c>
      <c r="E15" s="82" t="s">
        <v>1629</v>
      </c>
      <c r="F15" s="37">
        <v>32</v>
      </c>
      <c r="G15" s="35">
        <v>12</v>
      </c>
      <c r="H15" s="38">
        <v>5.4</v>
      </c>
      <c r="I15" s="38" t="s">
        <v>1630</v>
      </c>
      <c r="J15" s="34">
        <f>IFERROR(_xlfn.XLOOKUP(I15,Index!$A:$A,Index!$B:$B),"")</f>
        <v>1020</v>
      </c>
      <c r="L15" s="238"/>
    </row>
    <row r="16" spans="1:12" x14ac:dyDescent="0.2">
      <c r="A16" s="26"/>
      <c r="B16" s="26"/>
      <c r="C16" s="30"/>
      <c r="D16" s="35" t="s">
        <v>53</v>
      </c>
      <c r="E16" s="82" t="s">
        <v>1629</v>
      </c>
      <c r="F16" s="37">
        <v>32</v>
      </c>
      <c r="G16" s="35">
        <v>12</v>
      </c>
      <c r="H16" s="38">
        <v>5.4</v>
      </c>
      <c r="I16" s="38" t="s">
        <v>1631</v>
      </c>
      <c r="J16" s="34">
        <f>IFERROR(_xlfn.XLOOKUP(I16,Index!$A:$A,Index!$B:$B),"")</f>
        <v>1071</v>
      </c>
      <c r="L16" s="238"/>
    </row>
    <row r="17" spans="1:12" x14ac:dyDescent="0.2">
      <c r="A17" s="26"/>
      <c r="B17" s="26"/>
      <c r="C17" s="30"/>
      <c r="D17" s="35" t="s">
        <v>55</v>
      </c>
      <c r="E17" s="82" t="s">
        <v>1629</v>
      </c>
      <c r="F17" s="37">
        <v>32</v>
      </c>
      <c r="G17" s="35">
        <v>12</v>
      </c>
      <c r="H17" s="38">
        <v>5.4</v>
      </c>
      <c r="I17" s="38" t="s">
        <v>5542</v>
      </c>
      <c r="J17" s="46">
        <f>J16</f>
        <v>1071</v>
      </c>
      <c r="L17" s="238"/>
    </row>
    <row r="18" spans="1:12" x14ac:dyDescent="0.2">
      <c r="A18" s="26"/>
      <c r="B18" s="26"/>
      <c r="C18" s="30"/>
      <c r="D18" s="35" t="s">
        <v>176</v>
      </c>
      <c r="E18" s="82" t="s">
        <v>1632</v>
      </c>
      <c r="F18" s="37">
        <v>40</v>
      </c>
      <c r="G18" s="35">
        <v>12</v>
      </c>
      <c r="H18" s="38">
        <v>5.4</v>
      </c>
      <c r="I18" s="38" t="s">
        <v>1633</v>
      </c>
      <c r="J18" s="34">
        <f>IFERROR(_xlfn.XLOOKUP(I18,Index!$A:$A,Index!$B:$B),"")</f>
        <v>1020</v>
      </c>
      <c r="L18" s="238"/>
    </row>
    <row r="19" spans="1:12" x14ac:dyDescent="0.2">
      <c r="A19" s="26"/>
      <c r="B19" s="26"/>
      <c r="C19" s="30"/>
      <c r="D19" s="35" t="s">
        <v>53</v>
      </c>
      <c r="E19" s="82" t="s">
        <v>1632</v>
      </c>
      <c r="F19" s="37">
        <v>40</v>
      </c>
      <c r="G19" s="35">
        <v>12</v>
      </c>
      <c r="H19" s="38">
        <v>5.4</v>
      </c>
      <c r="I19" s="38" t="s">
        <v>1634</v>
      </c>
      <c r="J19" s="34">
        <f>IFERROR(_xlfn.XLOOKUP(I19,Index!$A:$A,Index!$B:$B),"")</f>
        <v>1071</v>
      </c>
      <c r="L19" s="238"/>
    </row>
    <row r="20" spans="1:12" x14ac:dyDescent="0.2">
      <c r="A20" s="26"/>
      <c r="B20" s="26"/>
      <c r="C20" s="30"/>
      <c r="D20" s="35" t="s">
        <v>55</v>
      </c>
      <c r="E20" s="82" t="s">
        <v>1632</v>
      </c>
      <c r="F20" s="37">
        <v>40</v>
      </c>
      <c r="G20" s="35">
        <v>12</v>
      </c>
      <c r="H20" s="38">
        <v>5.4</v>
      </c>
      <c r="I20" s="38" t="s">
        <v>1635</v>
      </c>
      <c r="J20" s="34">
        <f>IFERROR(_xlfn.XLOOKUP(I20,Index!$A:$A,Index!$B:$B),"")</f>
        <v>1071</v>
      </c>
      <c r="L20" s="238"/>
    </row>
    <row r="21" spans="1:12" x14ac:dyDescent="0.2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23</v>
      </c>
      <c r="H21" s="38">
        <v>10.4</v>
      </c>
      <c r="I21" s="38" t="s">
        <v>1636</v>
      </c>
      <c r="J21" s="34">
        <f>IFERROR(_xlfn.XLOOKUP(I21,Index!$A:$A,Index!$B:$B),"")</f>
        <v>1421</v>
      </c>
      <c r="L21" s="238"/>
    </row>
    <row r="22" spans="1:12" x14ac:dyDescent="0.2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23</v>
      </c>
      <c r="H22" s="38">
        <v>10.4</v>
      </c>
      <c r="I22" s="38" t="s">
        <v>1637</v>
      </c>
      <c r="J22" s="34">
        <f>IFERROR(_xlfn.XLOOKUP(I22,Index!$A:$A,Index!$B:$B),"")</f>
        <v>1491</v>
      </c>
      <c r="L22" s="238"/>
    </row>
    <row r="23" spans="1:12" x14ac:dyDescent="0.2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23</v>
      </c>
      <c r="H23" s="38">
        <v>10.4</v>
      </c>
      <c r="I23" s="38" t="s">
        <v>5650</v>
      </c>
      <c r="J23" s="34">
        <f>IFERROR(_xlfn.XLOOKUP(I23,Index!$A:$A,Index!$B:$B),"")</f>
        <v>1491</v>
      </c>
      <c r="L23" s="238"/>
    </row>
    <row r="24" spans="1:12" x14ac:dyDescent="0.2">
      <c r="A24" s="26"/>
      <c r="B24" s="26"/>
      <c r="C24" s="30"/>
      <c r="D24" s="35" t="s">
        <v>176</v>
      </c>
      <c r="E24" s="82" t="s">
        <v>1460</v>
      </c>
      <c r="F24" s="37">
        <v>65</v>
      </c>
      <c r="G24" s="35">
        <v>34</v>
      </c>
      <c r="H24" s="38">
        <v>15.4</v>
      </c>
      <c r="I24" s="38" t="s">
        <v>1638</v>
      </c>
      <c r="J24" s="34">
        <f>IFERROR(_xlfn.XLOOKUP(I24,Index!$A:$A,Index!$B:$B),"")</f>
        <v>2036</v>
      </c>
      <c r="L24" s="238"/>
    </row>
    <row r="25" spans="1:12" x14ac:dyDescent="0.2">
      <c r="A25" s="26"/>
      <c r="B25" s="26"/>
      <c r="C25" s="30"/>
      <c r="D25" s="35" t="s">
        <v>53</v>
      </c>
      <c r="E25" s="82" t="s">
        <v>1460</v>
      </c>
      <c r="F25" s="37">
        <v>65</v>
      </c>
      <c r="G25" s="35">
        <v>34</v>
      </c>
      <c r="H25" s="38">
        <v>15.4</v>
      </c>
      <c r="I25" s="38" t="s">
        <v>5651</v>
      </c>
      <c r="J25" s="34">
        <f>IFERROR(_xlfn.XLOOKUP(I25,Index!$A:$A,Index!$B:$B),"")</f>
        <v>2138</v>
      </c>
      <c r="L25" s="238"/>
    </row>
    <row r="26" spans="1:12" x14ac:dyDescent="0.2">
      <c r="A26" s="26"/>
      <c r="B26" s="26"/>
      <c r="C26" s="30"/>
      <c r="D26" s="35" t="s">
        <v>55</v>
      </c>
      <c r="E26" s="82" t="s">
        <v>1460</v>
      </c>
      <c r="F26" s="37">
        <v>65</v>
      </c>
      <c r="G26" s="35">
        <v>34</v>
      </c>
      <c r="H26" s="38">
        <v>15.4</v>
      </c>
      <c r="I26" s="38" t="s">
        <v>5652</v>
      </c>
      <c r="J26" s="34">
        <f>IFERROR(_xlfn.XLOOKUP(I26,Index!$A:$A,Index!$B:$B),"")</f>
        <v>2138</v>
      </c>
      <c r="L26" s="238"/>
    </row>
    <row r="27" spans="1:12" x14ac:dyDescent="0.2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51</v>
      </c>
      <c r="H27" s="38">
        <v>23.1</v>
      </c>
      <c r="I27" s="38" t="s">
        <v>1639</v>
      </c>
      <c r="J27" s="34">
        <f>IFERROR(_xlfn.XLOOKUP(I27,Index!$A:$A,Index!$B:$B),"")</f>
        <v>2616</v>
      </c>
      <c r="L27" s="238"/>
    </row>
    <row r="28" spans="1:12" x14ac:dyDescent="0.2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51</v>
      </c>
      <c r="H28" s="38">
        <v>23.1</v>
      </c>
      <c r="I28" s="38" t="s">
        <v>5653</v>
      </c>
      <c r="J28" s="34">
        <f>IFERROR(_xlfn.XLOOKUP(I28,Index!$A:$A,Index!$B:$B),"")</f>
        <v>2746</v>
      </c>
      <c r="L28" s="238"/>
    </row>
    <row r="29" spans="1:12" x14ac:dyDescent="0.2">
      <c r="A29" s="27"/>
      <c r="B29" s="27"/>
      <c r="C29" s="31"/>
      <c r="D29" s="35" t="s">
        <v>55</v>
      </c>
      <c r="E29" s="82" t="s">
        <v>1166</v>
      </c>
      <c r="F29" s="37">
        <v>80</v>
      </c>
      <c r="G29" s="35">
        <v>51</v>
      </c>
      <c r="H29" s="38">
        <v>23.1</v>
      </c>
      <c r="I29" s="38" t="s">
        <v>5654</v>
      </c>
      <c r="J29" s="34">
        <f>IFERROR(_xlfn.XLOOKUP(I29,Index!$A:$A,Index!$B:$B),"")</f>
        <v>2746</v>
      </c>
      <c r="L29" s="238"/>
    </row>
    <row r="30" spans="1:12" x14ac:dyDescent="0.2">
      <c r="L30" s="238"/>
    </row>
    <row r="31" spans="1:12" x14ac:dyDescent="0.2">
      <c r="L31" s="238"/>
    </row>
    <row r="32" spans="1:12" ht="15.75" x14ac:dyDescent="0.2">
      <c r="A32" s="62" t="s">
        <v>1620</v>
      </c>
      <c r="B32" s="62" t="s">
        <v>647</v>
      </c>
      <c r="D32" s="49"/>
      <c r="E32" s="50"/>
      <c r="F32" s="101"/>
      <c r="L32" s="238"/>
    </row>
    <row r="33" spans="1:12" ht="15.75" x14ac:dyDescent="0.2">
      <c r="A33" s="48" t="s">
        <v>102</v>
      </c>
      <c r="B33" s="11"/>
      <c r="C33" s="58"/>
      <c r="D33" s="58"/>
      <c r="E33" s="59"/>
      <c r="F33" s="101"/>
      <c r="L33" s="238"/>
    </row>
    <row r="34" spans="1:12" x14ac:dyDescent="0.2">
      <c r="A34" s="25" t="s">
        <v>35</v>
      </c>
      <c r="B34" s="28" t="s">
        <v>103</v>
      </c>
      <c r="C34" s="335" t="s">
        <v>38</v>
      </c>
      <c r="D34" s="335"/>
      <c r="E34" s="42" t="s">
        <v>40</v>
      </c>
      <c r="F34" s="43" t="s">
        <v>41</v>
      </c>
      <c r="L34" s="238"/>
    </row>
    <row r="35" spans="1:12" x14ac:dyDescent="0.2">
      <c r="A35" s="32"/>
      <c r="B35" s="32"/>
      <c r="C35" s="33" t="s">
        <v>44</v>
      </c>
      <c r="D35" s="33" t="s">
        <v>45</v>
      </c>
      <c r="E35" s="33"/>
      <c r="F35" s="44"/>
      <c r="L35" s="238"/>
    </row>
    <row r="36" spans="1:12" x14ac:dyDescent="0.2">
      <c r="A36" s="60" t="s">
        <v>1621</v>
      </c>
      <c r="B36" s="60" t="s">
        <v>1308</v>
      </c>
      <c r="C36" s="70">
        <v>0.5</v>
      </c>
      <c r="D36" s="38">
        <v>15</v>
      </c>
      <c r="E36" s="35" t="s">
        <v>1309</v>
      </c>
      <c r="F36" s="34">
        <f>IFERROR(_xlfn.XLOOKUP(E36,Index!$A:$A,Index!$B:$B),"")</f>
        <v>6</v>
      </c>
      <c r="L36" s="238"/>
    </row>
    <row r="37" spans="1:12" x14ac:dyDescent="0.2">
      <c r="A37" s="26"/>
      <c r="B37" s="26"/>
      <c r="C37" s="64">
        <v>0.75</v>
      </c>
      <c r="D37" s="116">
        <v>20</v>
      </c>
      <c r="E37" s="35" t="s">
        <v>1309</v>
      </c>
      <c r="F37" s="34">
        <f>IFERROR(_xlfn.XLOOKUP(E37,Index!$A:$A,Index!$B:$B),"")</f>
        <v>6</v>
      </c>
      <c r="L37" s="238"/>
    </row>
    <row r="38" spans="1:12" x14ac:dyDescent="0.2">
      <c r="A38" s="26"/>
      <c r="B38" s="26"/>
      <c r="C38" s="64">
        <v>1</v>
      </c>
      <c r="D38" s="116">
        <v>25</v>
      </c>
      <c r="E38" s="35" t="s">
        <v>1317</v>
      </c>
      <c r="F38" s="34">
        <f>IFERROR(_xlfn.XLOOKUP(E38,Index!$A:$A,Index!$B:$B),"")</f>
        <v>6</v>
      </c>
      <c r="L38" s="238"/>
    </row>
    <row r="39" spans="1:12" x14ac:dyDescent="0.2">
      <c r="A39" s="26"/>
      <c r="B39" s="26"/>
      <c r="C39" s="64">
        <v>1.25</v>
      </c>
      <c r="D39" s="116">
        <v>32</v>
      </c>
      <c r="E39" s="35" t="s">
        <v>1318</v>
      </c>
      <c r="F39" s="34">
        <f>IFERROR(_xlfn.XLOOKUP(E39,Index!$A:$A,Index!$B:$B),"")</f>
        <v>8.5</v>
      </c>
      <c r="L39" s="238"/>
    </row>
    <row r="40" spans="1:12" x14ac:dyDescent="0.2">
      <c r="A40" s="26"/>
      <c r="B40" s="26"/>
      <c r="C40" s="64">
        <v>1.5</v>
      </c>
      <c r="D40" s="116">
        <v>40</v>
      </c>
      <c r="E40" s="35" t="s">
        <v>1311</v>
      </c>
      <c r="F40" s="34">
        <f>IFERROR(_xlfn.XLOOKUP(E40,Index!$A:$A,Index!$B:$B),"")</f>
        <v>8.5</v>
      </c>
      <c r="L40" s="238"/>
    </row>
    <row r="41" spans="1:12" x14ac:dyDescent="0.2">
      <c r="A41" s="26"/>
      <c r="B41" s="26"/>
      <c r="C41" s="64">
        <v>2</v>
      </c>
      <c r="D41" s="116">
        <v>50</v>
      </c>
      <c r="E41" s="35" t="s">
        <v>1312</v>
      </c>
      <c r="F41" s="34">
        <f>IFERROR(_xlfn.XLOOKUP(E41,Index!$A:$A,Index!$B:$B),"")</f>
        <v>9</v>
      </c>
      <c r="L41" s="238"/>
    </row>
    <row r="42" spans="1:12" x14ac:dyDescent="0.2">
      <c r="A42" s="26"/>
      <c r="B42" s="26"/>
      <c r="C42" s="64">
        <v>2.5</v>
      </c>
      <c r="D42" s="116">
        <v>65</v>
      </c>
      <c r="E42" s="35" t="s">
        <v>1313</v>
      </c>
      <c r="F42" s="34">
        <f>IFERROR(_xlfn.XLOOKUP(E42,Index!$A:$A,Index!$B:$B),"")</f>
        <v>12.5</v>
      </c>
      <c r="L42" s="238"/>
    </row>
    <row r="43" spans="1:12" x14ac:dyDescent="0.2">
      <c r="A43" s="26"/>
      <c r="B43" s="26"/>
      <c r="C43" s="64">
        <v>3</v>
      </c>
      <c r="D43" s="116">
        <v>80</v>
      </c>
      <c r="E43" s="35" t="s">
        <v>1314</v>
      </c>
      <c r="F43" s="34">
        <f>IFERROR(_xlfn.XLOOKUP(E43,Index!$A:$A,Index!$B:$B),"")</f>
        <v>12.5</v>
      </c>
      <c r="L43" s="238"/>
    </row>
    <row r="44" spans="1:12" x14ac:dyDescent="0.2">
      <c r="A44" s="99"/>
      <c r="B44" s="132" t="s">
        <v>1315</v>
      </c>
      <c r="C44" s="70">
        <v>0.5</v>
      </c>
      <c r="D44" s="38">
        <v>15</v>
      </c>
      <c r="E44" s="35" t="s">
        <v>1316</v>
      </c>
      <c r="F44" s="34">
        <f>IFERROR(_xlfn.XLOOKUP(E44,Index!$A:$A,Index!$B:$B),"")</f>
        <v>6</v>
      </c>
      <c r="L44" s="238"/>
    </row>
    <row r="45" spans="1:12" x14ac:dyDescent="0.2">
      <c r="A45" s="26"/>
      <c r="B45" s="26"/>
      <c r="C45" s="64">
        <v>0.75</v>
      </c>
      <c r="D45" s="116">
        <v>20</v>
      </c>
      <c r="E45" s="35" t="s">
        <v>1316</v>
      </c>
      <c r="F45" s="34">
        <f>IFERROR(_xlfn.XLOOKUP(E45,Index!$A:$A,Index!$B:$B),"")</f>
        <v>6</v>
      </c>
      <c r="L45" s="238"/>
    </row>
    <row r="46" spans="1:12" x14ac:dyDescent="0.2">
      <c r="A46" s="26"/>
      <c r="B46" s="26"/>
      <c r="C46" s="64">
        <v>1</v>
      </c>
      <c r="D46" s="116">
        <v>25</v>
      </c>
      <c r="E46" s="35" t="s">
        <v>1310</v>
      </c>
      <c r="F46" s="34">
        <f>IFERROR(_xlfn.XLOOKUP(E46,Index!$A:$A,Index!$B:$B),"")</f>
        <v>6</v>
      </c>
      <c r="L46" s="238"/>
    </row>
    <row r="47" spans="1:12" x14ac:dyDescent="0.2">
      <c r="A47" s="26"/>
      <c r="B47" s="26"/>
      <c r="C47" s="64">
        <v>1.25</v>
      </c>
      <c r="D47" s="116">
        <v>32</v>
      </c>
      <c r="E47" s="35" t="s">
        <v>1311</v>
      </c>
      <c r="F47" s="34">
        <f>IFERROR(_xlfn.XLOOKUP(E47,Index!$A:$A,Index!$B:$B),"")</f>
        <v>8.5</v>
      </c>
      <c r="L47" s="238"/>
    </row>
    <row r="48" spans="1:12" x14ac:dyDescent="0.2">
      <c r="A48" s="26"/>
      <c r="B48" s="26"/>
      <c r="C48" s="64">
        <v>1.5</v>
      </c>
      <c r="D48" s="116">
        <v>40</v>
      </c>
      <c r="E48" s="35" t="s">
        <v>1318</v>
      </c>
      <c r="F48" s="34">
        <f>IFERROR(_xlfn.XLOOKUP(E48,Index!$A:$A,Index!$B:$B),"")</f>
        <v>8.5</v>
      </c>
      <c r="L48" s="238"/>
    </row>
    <row r="49" spans="1:13" x14ac:dyDescent="0.2">
      <c r="A49" s="26"/>
      <c r="B49" s="26"/>
      <c r="C49" s="64">
        <v>2</v>
      </c>
      <c r="D49" s="116">
        <v>50</v>
      </c>
      <c r="E49" s="35" t="s">
        <v>1311</v>
      </c>
      <c r="F49" s="34">
        <f>IFERROR(_xlfn.XLOOKUP(E49,Index!$A:$A,Index!$B:$B),"")</f>
        <v>8.5</v>
      </c>
      <c r="L49" s="238"/>
    </row>
    <row r="50" spans="1:13" x14ac:dyDescent="0.2">
      <c r="A50" s="26"/>
      <c r="B50" s="26"/>
      <c r="C50" s="64">
        <v>2.5</v>
      </c>
      <c r="D50" s="116">
        <v>65</v>
      </c>
      <c r="E50" s="35" t="s">
        <v>1319</v>
      </c>
      <c r="F50" s="34">
        <f>IFERROR(_xlfn.XLOOKUP(E50,Index!$A:$A,Index!$B:$B),"")</f>
        <v>12.5</v>
      </c>
      <c r="L50" s="238"/>
    </row>
    <row r="51" spans="1:13" x14ac:dyDescent="0.2">
      <c r="A51" s="26"/>
      <c r="B51" s="26"/>
      <c r="C51" s="64">
        <v>3</v>
      </c>
      <c r="D51" s="116">
        <v>80</v>
      </c>
      <c r="E51" s="35" t="s">
        <v>1320</v>
      </c>
      <c r="F51" s="34">
        <f>IFERROR(_xlfn.XLOOKUP(E51,Index!$A:$A,Index!$B:$B),"")</f>
        <v>12.5</v>
      </c>
      <c r="L51" s="238"/>
    </row>
    <row r="52" spans="1:13" s="1" customFormat="1" x14ac:dyDescent="0.2">
      <c r="A52" s="66"/>
      <c r="B52" s="60" t="s">
        <v>210</v>
      </c>
      <c r="C52" s="67">
        <v>0.5</v>
      </c>
      <c r="D52" s="35">
        <v>15</v>
      </c>
      <c r="E52" s="35" t="s">
        <v>1321</v>
      </c>
      <c r="F52" s="34">
        <f>IFERROR(_xlfn.XLOOKUP(E52,Index!$A:$A,Index!$B:$B),"")</f>
        <v>416</v>
      </c>
      <c r="G52" s="238"/>
      <c r="H52" s="238"/>
      <c r="I52" s="238"/>
      <c r="J52" s="238"/>
      <c r="K52" s="238"/>
      <c r="L52" s="238"/>
      <c r="M52" s="238"/>
    </row>
    <row r="53" spans="1:13" s="1" customFormat="1" x14ac:dyDescent="0.2">
      <c r="A53" s="26"/>
      <c r="B53" s="26"/>
      <c r="C53" s="65">
        <v>0.75</v>
      </c>
      <c r="D53" s="35">
        <v>20</v>
      </c>
      <c r="E53" s="35" t="s">
        <v>1321</v>
      </c>
      <c r="F53" s="34">
        <f>IFERROR(_xlfn.XLOOKUP(E53,Index!$A:$A,Index!$B:$B),"")</f>
        <v>416</v>
      </c>
      <c r="G53" s="238"/>
      <c r="H53" s="238"/>
      <c r="I53" s="238"/>
      <c r="J53" s="238"/>
      <c r="K53" s="238"/>
      <c r="L53" s="238"/>
      <c r="M53" s="238"/>
    </row>
    <row r="54" spans="1:13" s="1" customFormat="1" x14ac:dyDescent="0.2">
      <c r="A54" s="26"/>
      <c r="B54" s="26"/>
      <c r="C54" s="65">
        <v>1</v>
      </c>
      <c r="D54" s="35">
        <v>25</v>
      </c>
      <c r="E54" s="35" t="s">
        <v>1322</v>
      </c>
      <c r="F54" s="34">
        <f>IFERROR(_xlfn.XLOOKUP(E54,Index!$A:$A,Index!$B:$B),"")</f>
        <v>416</v>
      </c>
      <c r="G54" s="238"/>
      <c r="H54" s="238"/>
      <c r="I54" s="238"/>
      <c r="J54" s="238"/>
      <c r="K54" s="238"/>
      <c r="L54" s="238"/>
      <c r="M54" s="238"/>
    </row>
    <row r="55" spans="1:13" s="1" customFormat="1" x14ac:dyDescent="0.2">
      <c r="A55" s="26"/>
      <c r="B55" s="26"/>
      <c r="C55" s="65">
        <v>1.25</v>
      </c>
      <c r="D55" s="35">
        <v>32</v>
      </c>
      <c r="E55" s="35" t="s">
        <v>1323</v>
      </c>
      <c r="F55" s="34">
        <f>IFERROR(_xlfn.XLOOKUP(E55,Index!$A:$A,Index!$B:$B),"")</f>
        <v>457.5</v>
      </c>
      <c r="G55" s="238"/>
      <c r="H55" s="238"/>
      <c r="I55" s="238"/>
      <c r="J55" s="238"/>
      <c r="K55" s="238"/>
      <c r="L55" s="238"/>
      <c r="M55" s="238"/>
    </row>
    <row r="56" spans="1:13" s="1" customFormat="1" x14ac:dyDescent="0.2">
      <c r="A56" s="26"/>
      <c r="B56" s="26"/>
      <c r="C56" s="65">
        <v>1.5</v>
      </c>
      <c r="D56" s="35">
        <v>40</v>
      </c>
      <c r="E56" s="35" t="s">
        <v>1323</v>
      </c>
      <c r="F56" s="34">
        <f>IFERROR(_xlfn.XLOOKUP(E56,Index!$A:$A,Index!$B:$B),"")</f>
        <v>457.5</v>
      </c>
      <c r="G56" s="238"/>
      <c r="H56" s="238"/>
      <c r="I56" s="238"/>
      <c r="J56" s="238"/>
      <c r="K56" s="238"/>
      <c r="L56" s="238"/>
      <c r="M56" s="238"/>
    </row>
    <row r="57" spans="1:13" s="1" customFormat="1" x14ac:dyDescent="0.2">
      <c r="A57" s="26"/>
      <c r="B57" s="26"/>
      <c r="C57" s="65">
        <v>2</v>
      </c>
      <c r="D57" s="35">
        <v>50</v>
      </c>
      <c r="E57" s="35" t="s">
        <v>1324</v>
      </c>
      <c r="F57" s="34">
        <f>IFERROR(_xlfn.XLOOKUP(E57,Index!$A:$A,Index!$B:$B),"")</f>
        <v>457.5</v>
      </c>
      <c r="G57" s="238"/>
      <c r="H57" s="238"/>
      <c r="I57" s="238"/>
      <c r="J57" s="238"/>
      <c r="K57" s="238"/>
      <c r="L57" s="238"/>
      <c r="M57" s="238"/>
    </row>
    <row r="58" spans="1:13" s="1" customFormat="1" x14ac:dyDescent="0.2">
      <c r="A58" s="66"/>
      <c r="B58" s="26"/>
      <c r="C58" s="67">
        <v>2.5</v>
      </c>
      <c r="D58" s="35">
        <v>65</v>
      </c>
      <c r="E58" s="35" t="s">
        <v>1325</v>
      </c>
      <c r="F58" s="34">
        <f>IFERROR(_xlfn.XLOOKUP(E58,Index!$A:$A,Index!$B:$B),"")</f>
        <v>582</v>
      </c>
      <c r="G58" s="238"/>
      <c r="H58" s="238"/>
      <c r="I58" s="238"/>
      <c r="J58" s="238"/>
      <c r="K58" s="238"/>
      <c r="L58" s="238"/>
      <c r="M58" s="238"/>
    </row>
    <row r="59" spans="1:13" s="1" customFormat="1" x14ac:dyDescent="0.2">
      <c r="A59" s="26"/>
      <c r="B59" s="26"/>
      <c r="C59" s="65">
        <v>3</v>
      </c>
      <c r="D59" s="35">
        <v>80</v>
      </c>
      <c r="E59" s="35" t="s">
        <v>1326</v>
      </c>
      <c r="F59" s="34">
        <f>IFERROR(_xlfn.XLOOKUP(E59,Index!$A:$A,Index!$B:$B),"")</f>
        <v>582</v>
      </c>
      <c r="G59" s="238"/>
      <c r="H59" s="238"/>
      <c r="I59" s="238"/>
      <c r="J59" s="238"/>
      <c r="K59" s="238"/>
      <c r="L59" s="238"/>
      <c r="M59" s="238"/>
    </row>
    <row r="60" spans="1:13" s="1" customFormat="1" ht="12.75" customHeight="1" x14ac:dyDescent="0.2">
      <c r="A60" s="26"/>
      <c r="B60" s="60" t="s">
        <v>211</v>
      </c>
      <c r="C60" s="65">
        <v>0.5</v>
      </c>
      <c r="D60" s="35">
        <v>15</v>
      </c>
      <c r="E60" s="35" t="s">
        <v>1327</v>
      </c>
      <c r="F60" s="34">
        <f>IFERROR(_xlfn.XLOOKUP(E60,Index!$A:$A,Index!$B:$B),"")</f>
        <v>498.5</v>
      </c>
      <c r="G60" s="238"/>
      <c r="H60" s="238"/>
      <c r="I60" s="238"/>
      <c r="J60" s="238"/>
      <c r="K60" s="238"/>
      <c r="L60" s="238"/>
      <c r="M60" s="238"/>
    </row>
    <row r="61" spans="1:13" s="1" customFormat="1" ht="12.75" customHeight="1" x14ac:dyDescent="0.2">
      <c r="A61" s="26"/>
      <c r="B61" s="26"/>
      <c r="C61" s="65">
        <v>0.75</v>
      </c>
      <c r="D61" s="35">
        <v>20</v>
      </c>
      <c r="E61" s="35" t="s">
        <v>1328</v>
      </c>
      <c r="F61" s="34">
        <f>IFERROR(_xlfn.XLOOKUP(E61,Index!$A:$A,Index!$B:$B),"")</f>
        <v>498.5</v>
      </c>
      <c r="G61" s="238"/>
      <c r="H61" s="238"/>
      <c r="I61" s="238"/>
      <c r="J61" s="238"/>
      <c r="K61" s="238"/>
      <c r="L61" s="238"/>
      <c r="M61" s="238"/>
    </row>
    <row r="62" spans="1:13" s="1" customFormat="1" ht="12.75" customHeight="1" x14ac:dyDescent="0.2">
      <c r="A62" s="26"/>
      <c r="B62" s="26"/>
      <c r="C62" s="65">
        <v>1</v>
      </c>
      <c r="D62" s="35">
        <v>25</v>
      </c>
      <c r="E62" s="35" t="s">
        <v>1328</v>
      </c>
      <c r="F62" s="34">
        <f>IFERROR(_xlfn.XLOOKUP(E62,Index!$A:$A,Index!$B:$B),"")</f>
        <v>498.5</v>
      </c>
      <c r="G62" s="238"/>
      <c r="H62" s="238"/>
      <c r="I62" s="238"/>
      <c r="J62" s="238"/>
      <c r="K62" s="238"/>
      <c r="L62" s="238"/>
      <c r="M62" s="238"/>
    </row>
    <row r="63" spans="1:13" s="1" customFormat="1" ht="12.75" customHeight="1" x14ac:dyDescent="0.2">
      <c r="A63" s="26"/>
      <c r="B63" s="26"/>
      <c r="C63" s="65">
        <v>1.25</v>
      </c>
      <c r="D63" s="35">
        <v>32</v>
      </c>
      <c r="E63" s="35" t="s">
        <v>1329</v>
      </c>
      <c r="F63" s="34">
        <f>IFERROR(_xlfn.XLOOKUP(E63,Index!$A:$A,Index!$B:$B),"")</f>
        <v>541</v>
      </c>
      <c r="G63" s="238"/>
      <c r="H63" s="238"/>
      <c r="I63" s="238"/>
      <c r="J63" s="238"/>
      <c r="K63" s="238"/>
      <c r="L63" s="238"/>
      <c r="M63" s="238"/>
    </row>
    <row r="64" spans="1:13" s="1" customFormat="1" ht="12.75" customHeight="1" x14ac:dyDescent="0.2">
      <c r="A64" s="26"/>
      <c r="B64" s="26"/>
      <c r="C64" s="65">
        <v>1.5</v>
      </c>
      <c r="D64" s="35">
        <v>40</v>
      </c>
      <c r="E64" s="35" t="s">
        <v>1330</v>
      </c>
      <c r="F64" s="34">
        <f>IFERROR(_xlfn.XLOOKUP(E64,Index!$A:$A,Index!$B:$B),"")</f>
        <v>541</v>
      </c>
      <c r="G64" s="238"/>
      <c r="H64" s="238"/>
      <c r="I64" s="238"/>
      <c r="J64" s="238"/>
      <c r="K64" s="238"/>
      <c r="L64" s="238"/>
      <c r="M64" s="238"/>
    </row>
    <row r="65" spans="1:13" s="1" customFormat="1" ht="12.75" customHeight="1" x14ac:dyDescent="0.2">
      <c r="A65" s="26"/>
      <c r="B65" s="26"/>
      <c r="C65" s="65">
        <v>2</v>
      </c>
      <c r="D65" s="35">
        <v>50</v>
      </c>
      <c r="E65" s="35" t="s">
        <v>1331</v>
      </c>
      <c r="F65" s="34">
        <f>IFERROR(_xlfn.XLOOKUP(E65,Index!$A:$A,Index!$B:$B),"")</f>
        <v>541</v>
      </c>
      <c r="G65" s="238"/>
      <c r="H65" s="238"/>
      <c r="I65" s="238"/>
      <c r="J65" s="238"/>
      <c r="K65" s="238"/>
      <c r="L65" s="238"/>
      <c r="M65" s="238"/>
    </row>
    <row r="66" spans="1:13" s="1" customFormat="1" ht="12.75" customHeight="1" x14ac:dyDescent="0.2">
      <c r="A66" s="26"/>
      <c r="B66" s="26"/>
      <c r="C66" s="65">
        <v>2.5</v>
      </c>
      <c r="D66" s="35">
        <v>65</v>
      </c>
      <c r="E66" s="35" t="s">
        <v>1332</v>
      </c>
      <c r="F66" s="34">
        <f>IFERROR(_xlfn.XLOOKUP(E66,Index!$A:$A,Index!$B:$B),"")</f>
        <v>996.5</v>
      </c>
      <c r="G66" s="238"/>
      <c r="H66" s="238"/>
      <c r="I66" s="238"/>
      <c r="J66" s="238"/>
      <c r="K66" s="238"/>
      <c r="L66" s="238"/>
      <c r="M66" s="238"/>
    </row>
    <row r="67" spans="1:13" s="1" customFormat="1" ht="12.75" customHeight="1" x14ac:dyDescent="0.2">
      <c r="A67" s="26"/>
      <c r="B67" s="26"/>
      <c r="C67" s="65">
        <v>3</v>
      </c>
      <c r="D67" s="35">
        <v>80</v>
      </c>
      <c r="E67" s="35" t="s">
        <v>1333</v>
      </c>
      <c r="F67" s="34">
        <f>IFERROR(_xlfn.XLOOKUP(E67,Index!$A:$A,Index!$B:$B),"")</f>
        <v>996.5</v>
      </c>
      <c r="G67" s="238"/>
      <c r="H67" s="238"/>
      <c r="I67" s="238"/>
      <c r="J67" s="238"/>
      <c r="K67" s="238"/>
      <c r="L67" s="238"/>
      <c r="M67" s="238"/>
    </row>
    <row r="68" spans="1:13" s="1" customFormat="1" x14ac:dyDescent="0.2">
      <c r="A68" s="26"/>
      <c r="B68" s="60" t="s">
        <v>122</v>
      </c>
      <c r="C68" s="65">
        <v>0.5</v>
      </c>
      <c r="D68" s="35">
        <v>15</v>
      </c>
      <c r="E68" s="35" t="s">
        <v>1334</v>
      </c>
      <c r="F68" s="34">
        <f>IFERROR(_xlfn.XLOOKUP(E68,Index!$A:$A,Index!$B:$B),"")</f>
        <v>498.5</v>
      </c>
      <c r="G68" s="238"/>
      <c r="H68" s="238"/>
      <c r="I68" s="238"/>
      <c r="J68" s="238"/>
      <c r="K68" s="238"/>
      <c r="L68" s="238"/>
      <c r="M68" s="238"/>
    </row>
    <row r="69" spans="1:13" s="1" customFormat="1" x14ac:dyDescent="0.2">
      <c r="A69" s="26"/>
      <c r="B69" s="26"/>
      <c r="C69" s="65">
        <v>0.75</v>
      </c>
      <c r="D69" s="35">
        <v>20</v>
      </c>
      <c r="E69" s="35" t="s">
        <v>1335</v>
      </c>
      <c r="F69" s="34">
        <f>IFERROR(_xlfn.XLOOKUP(E69,Index!$A:$A,Index!$B:$B),"")</f>
        <v>498.5</v>
      </c>
      <c r="G69" s="238"/>
      <c r="H69" s="238"/>
      <c r="I69" s="238"/>
      <c r="J69" s="238"/>
      <c r="K69" s="238"/>
      <c r="L69" s="238"/>
      <c r="M69" s="238"/>
    </row>
    <row r="70" spans="1:13" s="1" customFormat="1" x14ac:dyDescent="0.2">
      <c r="A70" s="26"/>
      <c r="B70" s="26"/>
      <c r="C70" s="65">
        <v>1</v>
      </c>
      <c r="D70" s="35">
        <v>25</v>
      </c>
      <c r="E70" s="35" t="s">
        <v>1335</v>
      </c>
      <c r="F70" s="34">
        <f>IFERROR(_xlfn.XLOOKUP(E70,Index!$A:$A,Index!$B:$B),"")</f>
        <v>498.5</v>
      </c>
      <c r="G70" s="238"/>
      <c r="H70" s="238"/>
      <c r="I70" s="238"/>
      <c r="J70" s="238"/>
      <c r="K70" s="238"/>
      <c r="L70" s="238"/>
      <c r="M70" s="238"/>
    </row>
    <row r="71" spans="1:13" s="1" customFormat="1" x14ac:dyDescent="0.2">
      <c r="A71" s="26"/>
      <c r="B71" s="26"/>
      <c r="C71" s="65">
        <v>1.25</v>
      </c>
      <c r="D71" s="35">
        <v>32</v>
      </c>
      <c r="E71" s="35" t="s">
        <v>1336</v>
      </c>
      <c r="F71" s="34">
        <f>IFERROR(_xlfn.XLOOKUP(E71,Index!$A:$A,Index!$B:$B),"")</f>
        <v>541</v>
      </c>
      <c r="G71" s="238"/>
      <c r="H71" s="238"/>
      <c r="I71" s="238"/>
      <c r="J71" s="238"/>
      <c r="K71" s="238"/>
      <c r="L71" s="238"/>
      <c r="M71" s="238"/>
    </row>
    <row r="72" spans="1:13" s="1" customFormat="1" x14ac:dyDescent="0.2">
      <c r="A72" s="26"/>
      <c r="B72" s="26"/>
      <c r="C72" s="65">
        <v>1.5</v>
      </c>
      <c r="D72" s="35">
        <v>40</v>
      </c>
      <c r="E72" s="35" t="s">
        <v>1336</v>
      </c>
      <c r="F72" s="34">
        <f>IFERROR(_xlfn.XLOOKUP(E72,Index!$A:$A,Index!$B:$B),"")</f>
        <v>541</v>
      </c>
      <c r="G72" s="238"/>
      <c r="H72" s="238"/>
      <c r="I72" s="238"/>
      <c r="J72" s="238"/>
      <c r="K72" s="238"/>
      <c r="L72" s="238"/>
      <c r="M72" s="238"/>
    </row>
    <row r="73" spans="1:13" s="1" customFormat="1" x14ac:dyDescent="0.2">
      <c r="A73" s="26"/>
      <c r="B73" s="26"/>
      <c r="C73" s="65">
        <v>2</v>
      </c>
      <c r="D73" s="35">
        <v>50</v>
      </c>
      <c r="E73" s="35" t="s">
        <v>1337</v>
      </c>
      <c r="F73" s="34">
        <f>IFERROR(_xlfn.XLOOKUP(E73,Index!$A:$A,Index!$B:$B),"")</f>
        <v>541</v>
      </c>
      <c r="G73" s="238"/>
      <c r="H73" s="238"/>
      <c r="I73" s="238"/>
      <c r="J73" s="238"/>
      <c r="K73" s="238"/>
      <c r="L73" s="238"/>
      <c r="M73" s="238"/>
    </row>
    <row r="74" spans="1:13" s="1" customFormat="1" x14ac:dyDescent="0.2">
      <c r="A74" s="26"/>
      <c r="B74" s="26"/>
      <c r="C74" s="65">
        <v>2.5</v>
      </c>
      <c r="D74" s="35">
        <v>65</v>
      </c>
      <c r="E74" s="35" t="s">
        <v>1338</v>
      </c>
      <c r="F74" s="34">
        <f>IFERROR(_xlfn.XLOOKUP(E74,Index!$A:$A,Index!$B:$B),"")</f>
        <v>996.5</v>
      </c>
      <c r="G74" s="238"/>
      <c r="H74" s="238"/>
      <c r="I74" s="238"/>
      <c r="J74" s="238"/>
      <c r="K74" s="238"/>
      <c r="L74" s="238"/>
      <c r="M74" s="238"/>
    </row>
    <row r="75" spans="1:13" s="1" customFormat="1" x14ac:dyDescent="0.2">
      <c r="A75" s="26"/>
      <c r="B75" s="26"/>
      <c r="C75" s="65">
        <v>3</v>
      </c>
      <c r="D75" s="35">
        <v>80</v>
      </c>
      <c r="E75" s="35" t="s">
        <v>1339</v>
      </c>
      <c r="F75" s="34">
        <f>IFERROR(_xlfn.XLOOKUP(E75,Index!$A:$A,Index!$B:$B),"")</f>
        <v>996.5</v>
      </c>
      <c r="G75" s="238"/>
      <c r="H75" s="238"/>
      <c r="I75" s="238"/>
      <c r="J75" s="238"/>
      <c r="K75" s="238"/>
      <c r="L75" s="238"/>
      <c r="M75" s="238"/>
    </row>
    <row r="76" spans="1:13" s="1" customFormat="1" x14ac:dyDescent="0.2">
      <c r="A76" s="26"/>
      <c r="B76" s="60" t="s">
        <v>134</v>
      </c>
      <c r="C76" s="65">
        <v>0.5</v>
      </c>
      <c r="D76" s="35">
        <v>15</v>
      </c>
      <c r="E76" s="35" t="s">
        <v>1340</v>
      </c>
      <c r="F76" s="34">
        <f>IFERROR(_xlfn.XLOOKUP(E76,Index!$A:$A,Index!$B:$B),"")</f>
        <v>498.5</v>
      </c>
      <c r="G76" s="238"/>
      <c r="H76" s="238"/>
      <c r="I76" s="238"/>
      <c r="J76" s="238"/>
      <c r="K76" s="238"/>
      <c r="L76" s="238"/>
      <c r="M76" s="238"/>
    </row>
    <row r="77" spans="1:13" s="1" customFormat="1" x14ac:dyDescent="0.2">
      <c r="A77" s="26"/>
      <c r="B77" s="26"/>
      <c r="C77" s="65">
        <v>0.75</v>
      </c>
      <c r="D77" s="35">
        <v>20</v>
      </c>
      <c r="E77" s="35" t="s">
        <v>1340</v>
      </c>
      <c r="F77" s="34">
        <f>IFERROR(_xlfn.XLOOKUP(E77,Index!$A:$A,Index!$B:$B),"")</f>
        <v>498.5</v>
      </c>
      <c r="G77" s="238"/>
      <c r="H77" s="238"/>
      <c r="I77" s="238"/>
      <c r="J77" s="238"/>
      <c r="K77" s="238"/>
      <c r="L77" s="238"/>
      <c r="M77" s="238"/>
    </row>
    <row r="78" spans="1:13" s="1" customFormat="1" x14ac:dyDescent="0.2">
      <c r="A78" s="26"/>
      <c r="B78" s="26"/>
      <c r="C78" s="65">
        <v>1</v>
      </c>
      <c r="D78" s="35">
        <v>25</v>
      </c>
      <c r="E78" s="35" t="s">
        <v>1341</v>
      </c>
      <c r="F78" s="34">
        <f>IFERROR(_xlfn.XLOOKUP(E78,Index!$A:$A,Index!$B:$B),"")</f>
        <v>498.5</v>
      </c>
      <c r="G78" s="238"/>
      <c r="H78" s="238"/>
      <c r="I78" s="238"/>
      <c r="J78" s="238"/>
      <c r="K78" s="238"/>
      <c r="L78" s="238"/>
      <c r="M78" s="238"/>
    </row>
    <row r="79" spans="1:13" s="1" customFormat="1" x14ac:dyDescent="0.2">
      <c r="A79" s="26"/>
      <c r="B79" s="26"/>
      <c r="C79" s="65">
        <v>1.25</v>
      </c>
      <c r="D79" s="35">
        <v>32</v>
      </c>
      <c r="E79" s="35" t="s">
        <v>1342</v>
      </c>
      <c r="F79" s="34">
        <f>IFERROR(_xlfn.XLOOKUP(E79,Index!$A:$A,Index!$B:$B),"")</f>
        <v>541</v>
      </c>
      <c r="G79" s="238"/>
      <c r="H79" s="238"/>
      <c r="I79" s="238"/>
      <c r="J79" s="238"/>
      <c r="K79" s="238"/>
      <c r="L79" s="238"/>
      <c r="M79" s="238"/>
    </row>
    <row r="80" spans="1:13" s="1" customFormat="1" x14ac:dyDescent="0.2">
      <c r="A80" s="26"/>
      <c r="B80" s="26"/>
      <c r="C80" s="65">
        <v>1.5</v>
      </c>
      <c r="D80" s="35">
        <v>40</v>
      </c>
      <c r="E80" s="35" t="s">
        <v>1343</v>
      </c>
      <c r="F80" s="34">
        <f>IFERROR(_xlfn.XLOOKUP(E80,Index!$A:$A,Index!$B:$B),"")</f>
        <v>541</v>
      </c>
      <c r="G80" s="238"/>
      <c r="H80" s="238"/>
      <c r="I80" s="238"/>
      <c r="J80" s="238"/>
      <c r="K80" s="238"/>
      <c r="L80" s="238"/>
      <c r="M80" s="238"/>
    </row>
    <row r="81" spans="1:13" s="1" customFormat="1" x14ac:dyDescent="0.2">
      <c r="A81" s="26"/>
      <c r="B81" s="26"/>
      <c r="C81" s="65">
        <v>2</v>
      </c>
      <c r="D81" s="35">
        <v>50</v>
      </c>
      <c r="E81" s="35" t="s">
        <v>1344</v>
      </c>
      <c r="F81" s="34">
        <f>IFERROR(_xlfn.XLOOKUP(E81,Index!$A:$A,Index!$B:$B),"")</f>
        <v>541</v>
      </c>
      <c r="G81" s="238"/>
      <c r="H81" s="238"/>
      <c r="I81" s="238"/>
      <c r="J81" s="238"/>
      <c r="K81" s="238"/>
      <c r="L81" s="238"/>
      <c r="M81" s="238"/>
    </row>
    <row r="82" spans="1:13" s="1" customFormat="1" x14ac:dyDescent="0.2">
      <c r="A82" s="26"/>
      <c r="B82" s="26"/>
      <c r="C82" s="65">
        <v>2.5</v>
      </c>
      <c r="D82" s="35">
        <v>65</v>
      </c>
      <c r="E82" s="35" t="s">
        <v>1345</v>
      </c>
      <c r="F82" s="34">
        <f>IFERROR(_xlfn.XLOOKUP(E82,Index!$A:$A,Index!$B:$B),"")</f>
        <v>996.5</v>
      </c>
      <c r="G82" s="238"/>
      <c r="H82" s="238"/>
      <c r="I82" s="238"/>
      <c r="J82" s="238"/>
      <c r="K82" s="238"/>
      <c r="L82" s="238"/>
      <c r="M82" s="238"/>
    </row>
    <row r="83" spans="1:13" s="1" customFormat="1" x14ac:dyDescent="0.2">
      <c r="A83" s="26"/>
      <c r="B83" s="26"/>
      <c r="C83" s="65">
        <v>3</v>
      </c>
      <c r="D83" s="35">
        <v>80</v>
      </c>
      <c r="E83" s="35" t="s">
        <v>1346</v>
      </c>
      <c r="F83" s="34">
        <f>IFERROR(_xlfn.XLOOKUP(E83,Index!$A:$A,Index!$B:$B),"")</f>
        <v>996.5</v>
      </c>
      <c r="G83" s="238"/>
      <c r="H83" s="238"/>
      <c r="I83" s="238"/>
      <c r="J83" s="238"/>
      <c r="K83" s="238"/>
      <c r="L83" s="238"/>
      <c r="M83" s="238"/>
    </row>
    <row r="84" spans="1:13" s="1" customFormat="1" x14ac:dyDescent="0.2">
      <c r="A84" s="26"/>
      <c r="B84" s="60" t="s">
        <v>145</v>
      </c>
      <c r="C84" s="65">
        <v>0.5</v>
      </c>
      <c r="D84" s="35">
        <v>15</v>
      </c>
      <c r="E84" s="35" t="s">
        <v>1347</v>
      </c>
      <c r="F84" s="34">
        <f>IFERROR(_xlfn.XLOOKUP(E84,Index!$A:$A,Index!$B:$B),"")</f>
        <v>498.5</v>
      </c>
      <c r="G84" s="238"/>
      <c r="H84" s="238"/>
      <c r="I84" s="238"/>
      <c r="J84" s="238"/>
      <c r="K84" s="238"/>
      <c r="L84" s="238"/>
      <c r="M84" s="238"/>
    </row>
    <row r="85" spans="1:13" s="1" customFormat="1" x14ac:dyDescent="0.2">
      <c r="A85" s="26"/>
      <c r="B85" s="26"/>
      <c r="C85" s="65">
        <v>0.75</v>
      </c>
      <c r="D85" s="35">
        <v>20</v>
      </c>
      <c r="E85" s="35" t="s">
        <v>1347</v>
      </c>
      <c r="F85" s="34">
        <f>IFERROR(_xlfn.XLOOKUP(E85,Index!$A:$A,Index!$B:$B),"")</f>
        <v>498.5</v>
      </c>
      <c r="G85" s="238"/>
      <c r="H85" s="238"/>
      <c r="I85" s="238"/>
      <c r="J85" s="238"/>
      <c r="K85" s="238"/>
      <c r="L85" s="238"/>
      <c r="M85" s="238"/>
    </row>
    <row r="86" spans="1:13" s="1" customFormat="1" x14ac:dyDescent="0.2">
      <c r="A86" s="26"/>
      <c r="B86" s="26"/>
      <c r="C86" s="65">
        <v>1</v>
      </c>
      <c r="D86" s="35">
        <v>25</v>
      </c>
      <c r="E86" s="35" t="s">
        <v>1348</v>
      </c>
      <c r="F86" s="34">
        <f>IFERROR(_xlfn.XLOOKUP(E86,Index!$A:$A,Index!$B:$B),"")</f>
        <v>498.5</v>
      </c>
      <c r="G86" s="238"/>
      <c r="H86" s="238"/>
      <c r="I86" s="238"/>
      <c r="J86" s="238"/>
      <c r="K86" s="238"/>
      <c r="L86" s="238"/>
      <c r="M86" s="238"/>
    </row>
    <row r="87" spans="1:13" s="1" customFormat="1" x14ac:dyDescent="0.2">
      <c r="A87" s="26"/>
      <c r="B87" s="26"/>
      <c r="C87" s="65">
        <v>1.25</v>
      </c>
      <c r="D87" s="35">
        <v>32</v>
      </c>
      <c r="E87" s="35" t="s">
        <v>1349</v>
      </c>
      <c r="F87" s="34">
        <f>IFERROR(_xlfn.XLOOKUP(E87,Index!$A:$A,Index!$B:$B),"")</f>
        <v>541</v>
      </c>
      <c r="G87" s="238"/>
      <c r="H87" s="238"/>
      <c r="I87" s="238"/>
      <c r="J87" s="238"/>
      <c r="K87" s="238"/>
      <c r="L87" s="238"/>
      <c r="M87" s="238"/>
    </row>
    <row r="88" spans="1:13" s="1" customFormat="1" x14ac:dyDescent="0.2">
      <c r="A88" s="26"/>
      <c r="B88" s="26"/>
      <c r="C88" s="65">
        <v>1.5</v>
      </c>
      <c r="D88" s="35">
        <v>40</v>
      </c>
      <c r="E88" s="35" t="s">
        <v>1350</v>
      </c>
      <c r="F88" s="34">
        <f>IFERROR(_xlfn.XLOOKUP(E88,Index!$A:$A,Index!$B:$B),"")</f>
        <v>541</v>
      </c>
      <c r="G88" s="238"/>
      <c r="H88" s="238"/>
      <c r="I88" s="238"/>
      <c r="J88" s="238"/>
      <c r="K88" s="238"/>
      <c r="L88" s="238"/>
      <c r="M88" s="238"/>
    </row>
    <row r="89" spans="1:13" s="1" customFormat="1" x14ac:dyDescent="0.2">
      <c r="A89" s="26"/>
      <c r="B89" s="26"/>
      <c r="C89" s="65">
        <v>2</v>
      </c>
      <c r="D89" s="35">
        <v>50</v>
      </c>
      <c r="E89" s="35" t="s">
        <v>1351</v>
      </c>
      <c r="F89" s="34">
        <f>IFERROR(_xlfn.XLOOKUP(E89,Index!$A:$A,Index!$B:$B),"")</f>
        <v>541</v>
      </c>
      <c r="G89" s="238"/>
      <c r="H89" s="238"/>
      <c r="I89" s="238"/>
      <c r="J89" s="238"/>
      <c r="K89" s="238"/>
      <c r="L89" s="238"/>
      <c r="M89" s="238"/>
    </row>
    <row r="90" spans="1:13" s="1" customFormat="1" x14ac:dyDescent="0.2">
      <c r="A90" s="26"/>
      <c r="B90" s="26"/>
      <c r="C90" s="65">
        <v>2.5</v>
      </c>
      <c r="D90" s="35">
        <v>65</v>
      </c>
      <c r="E90" s="35" t="s">
        <v>1352</v>
      </c>
      <c r="F90" s="34">
        <f>IFERROR(_xlfn.XLOOKUP(E90,Index!$A:$A,Index!$B:$B),"")</f>
        <v>996.5</v>
      </c>
      <c r="G90" s="238"/>
      <c r="H90" s="238"/>
      <c r="I90" s="238"/>
      <c r="J90" s="238"/>
      <c r="K90" s="238"/>
      <c r="L90" s="238"/>
      <c r="M90" s="238"/>
    </row>
    <row r="91" spans="1:13" s="1" customFormat="1" x14ac:dyDescent="0.2">
      <c r="A91" s="26"/>
      <c r="B91" s="26"/>
      <c r="C91" s="65">
        <v>3</v>
      </c>
      <c r="D91" s="35">
        <v>80</v>
      </c>
      <c r="E91" s="35" t="s">
        <v>1353</v>
      </c>
      <c r="F91" s="34">
        <f>IFERROR(_xlfn.XLOOKUP(E91,Index!$A:$A,Index!$B:$B),"")</f>
        <v>996.5</v>
      </c>
      <c r="G91" s="238"/>
      <c r="H91" s="238"/>
      <c r="I91" s="238"/>
      <c r="J91" s="238"/>
      <c r="K91" s="238"/>
      <c r="L91" s="238"/>
      <c r="M91" s="238"/>
    </row>
    <row r="92" spans="1:13" s="1" customFormat="1" x14ac:dyDescent="0.2">
      <c r="A92" s="26"/>
      <c r="B92" s="60" t="s">
        <v>155</v>
      </c>
      <c r="C92" s="65">
        <v>0.5</v>
      </c>
      <c r="D92" s="35">
        <v>15</v>
      </c>
      <c r="E92" s="35" t="s">
        <v>1354</v>
      </c>
      <c r="F92" s="34">
        <f>IFERROR(_xlfn.XLOOKUP(E92,Index!$A:$A,Index!$B:$B),"")</f>
        <v>498.5</v>
      </c>
      <c r="G92" s="238"/>
      <c r="H92" s="238"/>
      <c r="I92" s="238"/>
      <c r="J92" s="238"/>
      <c r="K92" s="238"/>
      <c r="L92" s="238"/>
      <c r="M92" s="238"/>
    </row>
    <row r="93" spans="1:13" s="1" customFormat="1" x14ac:dyDescent="0.2">
      <c r="A93" s="26"/>
      <c r="B93" s="26"/>
      <c r="C93" s="65">
        <v>0.75</v>
      </c>
      <c r="D93" s="35">
        <v>20</v>
      </c>
      <c r="E93" s="35" t="s">
        <v>1354</v>
      </c>
      <c r="F93" s="34">
        <f>IFERROR(_xlfn.XLOOKUP(E93,Index!$A:$A,Index!$B:$B),"")</f>
        <v>498.5</v>
      </c>
      <c r="G93" s="238"/>
      <c r="H93" s="238"/>
      <c r="I93" s="238"/>
      <c r="J93" s="238"/>
      <c r="K93" s="238"/>
      <c r="L93" s="238"/>
      <c r="M93" s="238"/>
    </row>
    <row r="94" spans="1:13" s="1" customFormat="1" x14ac:dyDescent="0.2">
      <c r="A94" s="26"/>
      <c r="B94" s="26"/>
      <c r="C94" s="65">
        <v>1</v>
      </c>
      <c r="D94" s="35">
        <v>25</v>
      </c>
      <c r="E94" s="35" t="s">
        <v>1355</v>
      </c>
      <c r="F94" s="34">
        <f>IFERROR(_xlfn.XLOOKUP(E94,Index!$A:$A,Index!$B:$B),"")</f>
        <v>498.5</v>
      </c>
      <c r="G94" s="238"/>
      <c r="H94" s="238"/>
      <c r="I94" s="238"/>
      <c r="J94" s="238"/>
      <c r="K94" s="238"/>
      <c r="L94" s="238"/>
      <c r="M94" s="238"/>
    </row>
    <row r="95" spans="1:13" s="1" customFormat="1" x14ac:dyDescent="0.2">
      <c r="A95" s="26"/>
      <c r="B95" s="26"/>
      <c r="C95" s="65">
        <v>1.25</v>
      </c>
      <c r="D95" s="35">
        <v>32</v>
      </c>
      <c r="E95" s="35" t="s">
        <v>1356</v>
      </c>
      <c r="F95" s="34">
        <f>IFERROR(_xlfn.XLOOKUP(E95,Index!$A:$A,Index!$B:$B),"")</f>
        <v>541</v>
      </c>
      <c r="G95" s="238"/>
      <c r="H95" s="238"/>
      <c r="I95" s="238"/>
      <c r="J95" s="238"/>
      <c r="K95" s="238"/>
      <c r="L95" s="238"/>
      <c r="M95" s="238"/>
    </row>
    <row r="96" spans="1:13" s="1" customFormat="1" x14ac:dyDescent="0.2">
      <c r="A96" s="26"/>
      <c r="B96" s="26"/>
      <c r="C96" s="65">
        <v>1.5</v>
      </c>
      <c r="D96" s="35">
        <v>40</v>
      </c>
      <c r="E96" s="35" t="s">
        <v>1357</v>
      </c>
      <c r="F96" s="34">
        <f>IFERROR(_xlfn.XLOOKUP(E96,Index!$A:$A,Index!$B:$B),"")</f>
        <v>541</v>
      </c>
      <c r="G96" s="238"/>
      <c r="H96" s="238"/>
      <c r="I96" s="238"/>
      <c r="J96" s="238"/>
      <c r="K96" s="238"/>
      <c r="L96" s="238"/>
      <c r="M96" s="238"/>
    </row>
    <row r="97" spans="1:13" s="1" customFormat="1" x14ac:dyDescent="0.2">
      <c r="A97" s="26"/>
      <c r="B97" s="26"/>
      <c r="C97" s="65">
        <v>2</v>
      </c>
      <c r="D97" s="35">
        <v>50</v>
      </c>
      <c r="E97" s="35" t="s">
        <v>1358</v>
      </c>
      <c r="F97" s="34">
        <f>IFERROR(_xlfn.XLOOKUP(E97,Index!$A:$A,Index!$B:$B),"")</f>
        <v>541</v>
      </c>
      <c r="G97" s="238"/>
      <c r="H97" s="238"/>
      <c r="I97" s="238"/>
      <c r="J97" s="238"/>
      <c r="K97" s="238"/>
      <c r="L97" s="238"/>
      <c r="M97" s="238"/>
    </row>
    <row r="98" spans="1:13" s="1" customFormat="1" x14ac:dyDescent="0.2">
      <c r="A98" s="26"/>
      <c r="B98" s="26"/>
      <c r="C98" s="65">
        <v>2.5</v>
      </c>
      <c r="D98" s="35">
        <v>65</v>
      </c>
      <c r="E98" s="35" t="s">
        <v>1359</v>
      </c>
      <c r="F98" s="34">
        <f>IFERROR(_xlfn.XLOOKUP(E98,Index!$A:$A,Index!$B:$B),"")</f>
        <v>996.5</v>
      </c>
      <c r="G98" s="238"/>
      <c r="H98" s="238"/>
      <c r="I98" s="238"/>
      <c r="J98" s="238"/>
      <c r="K98" s="238"/>
      <c r="L98" s="238"/>
      <c r="M98" s="238"/>
    </row>
    <row r="99" spans="1:13" s="1" customFormat="1" x14ac:dyDescent="0.2">
      <c r="A99" s="99"/>
      <c r="B99" s="121"/>
      <c r="C99" s="65">
        <v>3</v>
      </c>
      <c r="D99" s="35">
        <v>80</v>
      </c>
      <c r="E99" s="35" t="s">
        <v>1360</v>
      </c>
      <c r="F99" s="34">
        <f>IFERROR(_xlfn.XLOOKUP(E99,Index!$A:$A,Index!$B:$B),"")</f>
        <v>996.5</v>
      </c>
      <c r="G99" s="238"/>
      <c r="H99" s="238"/>
      <c r="I99" s="238"/>
      <c r="J99" s="238"/>
      <c r="K99" s="238"/>
      <c r="L99" s="238"/>
      <c r="M99" s="238"/>
    </row>
    <row r="100" spans="1:13" x14ac:dyDescent="0.2">
      <c r="A100" s="26"/>
      <c r="B100" s="60" t="s">
        <v>1361</v>
      </c>
      <c r="C100" s="70">
        <v>0.5</v>
      </c>
      <c r="D100" s="38">
        <v>15</v>
      </c>
      <c r="E100" s="35" t="s">
        <v>1362</v>
      </c>
      <c r="F100" s="34">
        <f>IFERROR(_xlfn.XLOOKUP(E100,Index!$A:$A,Index!$B:$B),"")</f>
        <v>25.5</v>
      </c>
      <c r="L100" s="238"/>
    </row>
    <row r="101" spans="1:13" x14ac:dyDescent="0.2">
      <c r="A101" s="26"/>
      <c r="B101" s="26"/>
      <c r="C101" s="64">
        <v>0.75</v>
      </c>
      <c r="D101" s="116">
        <v>20</v>
      </c>
      <c r="E101" s="35" t="s">
        <v>1362</v>
      </c>
      <c r="F101" s="34">
        <f>IFERROR(_xlfn.XLOOKUP(E101,Index!$A:$A,Index!$B:$B),"")</f>
        <v>25.5</v>
      </c>
      <c r="L101" s="238"/>
    </row>
    <row r="102" spans="1:13" x14ac:dyDescent="0.2">
      <c r="A102" s="26"/>
      <c r="B102" s="26"/>
      <c r="C102" s="64">
        <v>1</v>
      </c>
      <c r="D102" s="116">
        <v>25</v>
      </c>
      <c r="E102" s="35" t="s">
        <v>1362</v>
      </c>
      <c r="F102" s="34">
        <f>IFERROR(_xlfn.XLOOKUP(E102,Index!$A:$A,Index!$B:$B),"")</f>
        <v>25.5</v>
      </c>
      <c r="L102" s="238"/>
    </row>
    <row r="103" spans="1:13" x14ac:dyDescent="0.2">
      <c r="A103" s="26"/>
      <c r="B103" s="26"/>
      <c r="C103" s="64">
        <v>1.25</v>
      </c>
      <c r="D103" s="116">
        <v>32</v>
      </c>
      <c r="E103" s="35" t="s">
        <v>1362</v>
      </c>
      <c r="F103" s="34">
        <f>IFERROR(_xlfn.XLOOKUP(E103,Index!$A:$A,Index!$B:$B),"")</f>
        <v>25.5</v>
      </c>
      <c r="L103" s="238"/>
    </row>
    <row r="104" spans="1:13" x14ac:dyDescent="0.2">
      <c r="A104" s="26"/>
      <c r="B104" s="26"/>
      <c r="C104" s="64">
        <v>1.5</v>
      </c>
      <c r="D104" s="116">
        <v>40</v>
      </c>
      <c r="E104" s="35" t="s">
        <v>1362</v>
      </c>
      <c r="F104" s="34">
        <f>IFERROR(_xlfn.XLOOKUP(E104,Index!$A:$A,Index!$B:$B),"")</f>
        <v>25.5</v>
      </c>
      <c r="L104" s="238"/>
    </row>
    <row r="105" spans="1:13" x14ac:dyDescent="0.2">
      <c r="A105" s="26"/>
      <c r="B105" s="26"/>
      <c r="C105" s="64">
        <v>2</v>
      </c>
      <c r="D105" s="116">
        <v>50</v>
      </c>
      <c r="E105" s="35" t="s">
        <v>1363</v>
      </c>
      <c r="F105" s="34">
        <f>IFERROR(_xlfn.XLOOKUP(E105,Index!$A:$A,Index!$B:$B),"")</f>
        <v>25.5</v>
      </c>
      <c r="L105" s="238"/>
    </row>
    <row r="106" spans="1:13" x14ac:dyDescent="0.2">
      <c r="A106" s="26"/>
      <c r="B106" s="26"/>
      <c r="C106" s="64">
        <v>2.5</v>
      </c>
      <c r="D106" s="116">
        <v>65</v>
      </c>
      <c r="E106" s="35" t="s">
        <v>1363</v>
      </c>
      <c r="F106" s="34">
        <f>IFERROR(_xlfn.XLOOKUP(E106,Index!$A:$A,Index!$B:$B),"")</f>
        <v>25.5</v>
      </c>
      <c r="L106" s="238"/>
    </row>
    <row r="107" spans="1:13" x14ac:dyDescent="0.2">
      <c r="A107" s="27"/>
      <c r="B107" s="27"/>
      <c r="C107" s="64">
        <v>3</v>
      </c>
      <c r="D107" s="116">
        <v>80</v>
      </c>
      <c r="E107" s="35" t="s">
        <v>1363</v>
      </c>
      <c r="F107" s="34">
        <f>IFERROR(_xlfn.XLOOKUP(E107,Index!$A:$A,Index!$B:$B),"")</f>
        <v>25.5</v>
      </c>
      <c r="L107" s="238"/>
    </row>
    <row r="108" spans="1:13" x14ac:dyDescent="0.2">
      <c r="L108" s="238"/>
    </row>
    <row r="109" spans="1:13" x14ac:dyDescent="0.2">
      <c r="L109" s="238"/>
    </row>
    <row r="110" spans="1:13" ht="17.100000000000001" customHeight="1" x14ac:dyDescent="0.2">
      <c r="A110" s="62" t="s">
        <v>1640</v>
      </c>
      <c r="B110" s="62" t="s">
        <v>647</v>
      </c>
      <c r="C110" s="243"/>
      <c r="D110" s="3"/>
      <c r="E110" s="8"/>
      <c r="F110" s="9"/>
      <c r="G110" s="10"/>
      <c r="H110" s="19"/>
      <c r="I110" s="19"/>
      <c r="J110" s="20"/>
      <c r="L110" s="238"/>
    </row>
    <row r="111" spans="1:13" ht="15.75" x14ac:dyDescent="0.2">
      <c r="A111" s="48" t="s">
        <v>5562</v>
      </c>
      <c r="B111" s="11"/>
      <c r="C111" s="4"/>
      <c r="D111" s="4"/>
      <c r="E111" s="5"/>
      <c r="F111" s="9"/>
      <c r="G111" s="4"/>
      <c r="H111" s="19"/>
      <c r="I111" s="19"/>
      <c r="J111" s="20"/>
      <c r="L111" s="238"/>
    </row>
    <row r="112" spans="1:13" ht="24" x14ac:dyDescent="0.2">
      <c r="A112" s="25" t="s">
        <v>35</v>
      </c>
      <c r="B112" s="28" t="s">
        <v>36</v>
      </c>
      <c r="C112" s="333" t="s">
        <v>37</v>
      </c>
      <c r="D112" s="339"/>
      <c r="E112" s="337" t="s">
        <v>38</v>
      </c>
      <c r="F112" s="337"/>
      <c r="G112" s="337" t="s">
        <v>39</v>
      </c>
      <c r="H112" s="336"/>
      <c r="I112" s="29" t="s">
        <v>1271</v>
      </c>
      <c r="J112" s="24" t="s">
        <v>41</v>
      </c>
      <c r="L112" s="238"/>
    </row>
    <row r="113" spans="1:12" x14ac:dyDescent="0.2">
      <c r="A113" s="32"/>
      <c r="B113" s="32"/>
      <c r="C113" s="33" t="s">
        <v>42</v>
      </c>
      <c r="D113" s="33" t="s">
        <v>43</v>
      </c>
      <c r="E113" s="33" t="s">
        <v>44</v>
      </c>
      <c r="F113" s="33" t="s">
        <v>45</v>
      </c>
      <c r="G113" s="33" t="s">
        <v>46</v>
      </c>
      <c r="H113" s="39" t="s">
        <v>47</v>
      </c>
      <c r="I113" s="33"/>
      <c r="J113" s="41"/>
      <c r="L113" s="238"/>
    </row>
    <row r="114" spans="1:12" x14ac:dyDescent="0.2">
      <c r="A114" s="26" t="s">
        <v>1641</v>
      </c>
      <c r="B114" s="26" t="s">
        <v>1642</v>
      </c>
      <c r="C114" s="30" t="s">
        <v>50</v>
      </c>
      <c r="D114" s="35" t="s">
        <v>176</v>
      </c>
      <c r="E114" s="82" t="s">
        <v>1150</v>
      </c>
      <c r="F114" s="37">
        <v>25</v>
      </c>
      <c r="G114" s="35">
        <v>10</v>
      </c>
      <c r="H114" s="38">
        <v>4.5</v>
      </c>
      <c r="I114" s="38" t="s">
        <v>1643</v>
      </c>
      <c r="J114" s="34">
        <f>IFERROR(_xlfn.XLOOKUP(I114,Index!$A:$A,Index!$B:$B),"")</f>
        <v>1239</v>
      </c>
      <c r="L114" s="238"/>
    </row>
    <row r="115" spans="1:12" x14ac:dyDescent="0.2">
      <c r="A115" s="26"/>
      <c r="B115" s="26"/>
      <c r="C115" s="30"/>
      <c r="D115" s="35" t="s">
        <v>53</v>
      </c>
      <c r="E115" s="82" t="s">
        <v>1150</v>
      </c>
      <c r="F115" s="37">
        <v>25</v>
      </c>
      <c r="G115" s="35">
        <v>10</v>
      </c>
      <c r="H115" s="38">
        <v>4.5</v>
      </c>
      <c r="I115" s="38" t="s">
        <v>1644</v>
      </c>
      <c r="J115" s="34">
        <f>IFERROR(_xlfn.XLOOKUP(I115,Index!$A:$A,Index!$B:$B),"")</f>
        <v>1327</v>
      </c>
      <c r="L115" s="238"/>
    </row>
    <row r="116" spans="1:12" x14ac:dyDescent="0.2">
      <c r="A116" s="26"/>
      <c r="B116" s="26"/>
      <c r="C116" s="30"/>
      <c r="D116" s="35" t="s">
        <v>55</v>
      </c>
      <c r="E116" s="82" t="s">
        <v>1150</v>
      </c>
      <c r="F116" s="37">
        <v>25</v>
      </c>
      <c r="G116" s="35">
        <v>10</v>
      </c>
      <c r="H116" s="38">
        <v>4.5</v>
      </c>
      <c r="I116" s="38" t="s">
        <v>1645</v>
      </c>
      <c r="J116" s="34">
        <f>IFERROR(_xlfn.XLOOKUP(I116,Index!$A:$A,Index!$B:$B),"")</f>
        <v>1302</v>
      </c>
      <c r="L116" s="238"/>
    </row>
    <row r="117" spans="1:12" x14ac:dyDescent="0.2">
      <c r="A117" s="26"/>
      <c r="B117" s="26"/>
      <c r="C117" s="30"/>
      <c r="D117" s="35" t="s">
        <v>176</v>
      </c>
      <c r="E117" s="82" t="s">
        <v>1629</v>
      </c>
      <c r="F117" s="37">
        <v>32</v>
      </c>
      <c r="G117" s="35">
        <v>16</v>
      </c>
      <c r="H117" s="38">
        <v>7.3</v>
      </c>
      <c r="I117" s="38" t="s">
        <v>1630</v>
      </c>
      <c r="J117" s="34">
        <f>IFERROR(_xlfn.XLOOKUP(I117,Index!$A:$A,Index!$B:$B),"")</f>
        <v>1020</v>
      </c>
      <c r="L117" s="238"/>
    </row>
    <row r="118" spans="1:12" x14ac:dyDescent="0.2">
      <c r="A118" s="26"/>
      <c r="B118" s="26"/>
      <c r="C118" s="30"/>
      <c r="D118" s="35" t="s">
        <v>53</v>
      </c>
      <c r="E118" s="82" t="s">
        <v>1629</v>
      </c>
      <c r="F118" s="37">
        <v>32</v>
      </c>
      <c r="G118" s="35">
        <v>16</v>
      </c>
      <c r="H118" s="38">
        <v>7.3</v>
      </c>
      <c r="I118" s="38" t="s">
        <v>1646</v>
      </c>
      <c r="J118" s="34">
        <f>IFERROR(_xlfn.XLOOKUP(I118,Index!$A:$A,Index!$B:$B),"")</f>
        <v>1071</v>
      </c>
      <c r="L118" s="238"/>
    </row>
    <row r="119" spans="1:12" x14ac:dyDescent="0.2">
      <c r="A119" s="26"/>
      <c r="B119" s="26"/>
      <c r="C119" s="30"/>
      <c r="D119" s="35" t="s">
        <v>55</v>
      </c>
      <c r="E119" s="82" t="s">
        <v>1629</v>
      </c>
      <c r="F119" s="37">
        <v>32</v>
      </c>
      <c r="G119" s="35">
        <v>16</v>
      </c>
      <c r="H119" s="38">
        <v>7.3</v>
      </c>
      <c r="I119" s="38" t="s">
        <v>5655</v>
      </c>
      <c r="J119" s="34">
        <f>IFERROR(_xlfn.XLOOKUP(I119,Index!$A:$A,Index!$B:$B),"")</f>
        <v>1071</v>
      </c>
      <c r="L119" s="238"/>
    </row>
    <row r="120" spans="1:12" x14ac:dyDescent="0.2">
      <c r="A120" s="26"/>
      <c r="B120" s="26"/>
      <c r="C120" s="30"/>
      <c r="D120" s="35" t="s">
        <v>176</v>
      </c>
      <c r="E120" s="82" t="s">
        <v>1632</v>
      </c>
      <c r="F120" s="37">
        <v>40</v>
      </c>
      <c r="G120" s="35">
        <v>16</v>
      </c>
      <c r="H120" s="38">
        <v>7.3</v>
      </c>
      <c r="I120" s="38" t="s">
        <v>1647</v>
      </c>
      <c r="J120" s="34">
        <f>IFERROR(_xlfn.XLOOKUP(I120,Index!$A:$A,Index!$B:$B),"")</f>
        <v>2109</v>
      </c>
      <c r="L120" s="238"/>
    </row>
    <row r="121" spans="1:12" x14ac:dyDescent="0.2">
      <c r="A121" s="26"/>
      <c r="B121" s="26"/>
      <c r="C121" s="30"/>
      <c r="D121" s="35" t="s">
        <v>53</v>
      </c>
      <c r="E121" s="82" t="s">
        <v>1632</v>
      </c>
      <c r="F121" s="37">
        <v>40</v>
      </c>
      <c r="G121" s="35">
        <v>16</v>
      </c>
      <c r="H121" s="38">
        <v>7.3</v>
      </c>
      <c r="I121" s="38" t="s">
        <v>1648</v>
      </c>
      <c r="J121" s="34">
        <f>IFERROR(_xlfn.XLOOKUP(I121,Index!$A:$A,Index!$B:$B),"")</f>
        <v>2257</v>
      </c>
      <c r="L121" s="238"/>
    </row>
    <row r="122" spans="1:12" x14ac:dyDescent="0.2">
      <c r="A122" s="26"/>
      <c r="B122" s="26"/>
      <c r="C122" s="30"/>
      <c r="D122" s="35" t="s">
        <v>55</v>
      </c>
      <c r="E122" s="82" t="s">
        <v>1632</v>
      </c>
      <c r="F122" s="37">
        <v>40</v>
      </c>
      <c r="G122" s="35">
        <v>16</v>
      </c>
      <c r="H122" s="38">
        <v>7.3</v>
      </c>
      <c r="I122" s="38" t="s">
        <v>5656</v>
      </c>
      <c r="J122" s="34">
        <f>IFERROR(_xlfn.XLOOKUP(I122,Index!$A:$A,Index!$B:$B),"")</f>
        <v>2215</v>
      </c>
      <c r="L122" s="238"/>
    </row>
    <row r="123" spans="1:12" x14ac:dyDescent="0.2">
      <c r="A123" s="26"/>
      <c r="B123" s="26"/>
      <c r="C123" s="30"/>
      <c r="D123" s="35" t="s">
        <v>176</v>
      </c>
      <c r="E123" s="82" t="s">
        <v>1159</v>
      </c>
      <c r="F123" s="37">
        <v>50</v>
      </c>
      <c r="G123" s="35">
        <v>25</v>
      </c>
      <c r="H123" s="38">
        <v>11.3</v>
      </c>
      <c r="I123" s="38" t="s">
        <v>1649</v>
      </c>
      <c r="J123" s="34">
        <f>IFERROR(_xlfn.XLOOKUP(I123,Index!$A:$A,Index!$B:$B),"")</f>
        <v>2616</v>
      </c>
      <c r="L123" s="238"/>
    </row>
    <row r="124" spans="1:12" x14ac:dyDescent="0.2">
      <c r="A124" s="26"/>
      <c r="B124" s="26"/>
      <c r="C124" s="30"/>
      <c r="D124" s="35" t="s">
        <v>53</v>
      </c>
      <c r="E124" s="82" t="s">
        <v>1159</v>
      </c>
      <c r="F124" s="37">
        <v>50</v>
      </c>
      <c r="G124" s="35">
        <v>25</v>
      </c>
      <c r="H124" s="38">
        <v>11.3</v>
      </c>
      <c r="I124" s="38" t="s">
        <v>1650</v>
      </c>
      <c r="J124" s="34">
        <f>IFERROR(_xlfn.XLOOKUP(I124,Index!$A:$A,Index!$B:$B),"")</f>
        <v>2800</v>
      </c>
      <c r="L124" s="238"/>
    </row>
    <row r="125" spans="1:12" x14ac:dyDescent="0.2">
      <c r="A125" s="26"/>
      <c r="B125" s="26"/>
      <c r="C125" s="30"/>
      <c r="D125" s="35" t="s">
        <v>55</v>
      </c>
      <c r="E125" s="82" t="s">
        <v>1159</v>
      </c>
      <c r="F125" s="37">
        <v>50</v>
      </c>
      <c r="G125" s="35">
        <v>25</v>
      </c>
      <c r="H125" s="38">
        <v>11.3</v>
      </c>
      <c r="I125" s="38" t="s">
        <v>1651</v>
      </c>
      <c r="J125" s="34">
        <f>IFERROR(_xlfn.XLOOKUP(I125,Index!$A:$A,Index!$B:$B),"")</f>
        <v>2800</v>
      </c>
      <c r="L125" s="238"/>
    </row>
    <row r="126" spans="1:12" x14ac:dyDescent="0.2">
      <c r="A126" s="26"/>
      <c r="B126" s="26"/>
      <c r="C126" s="30"/>
      <c r="D126" s="35" t="s">
        <v>176</v>
      </c>
      <c r="E126" s="82" t="s">
        <v>1460</v>
      </c>
      <c r="F126" s="37">
        <v>65</v>
      </c>
      <c r="G126" s="35">
        <v>41</v>
      </c>
      <c r="H126" s="38">
        <v>19</v>
      </c>
      <c r="I126" s="38" t="s">
        <v>1638</v>
      </c>
      <c r="J126" s="34">
        <f>IFERROR(_xlfn.XLOOKUP(I126,Index!$A:$A,Index!$B:$B),"")</f>
        <v>2036</v>
      </c>
      <c r="L126" s="238"/>
    </row>
    <row r="127" spans="1:12" x14ac:dyDescent="0.2">
      <c r="A127" s="26"/>
      <c r="B127" s="26"/>
      <c r="C127" s="30"/>
      <c r="D127" s="35" t="s">
        <v>53</v>
      </c>
      <c r="E127" s="82" t="s">
        <v>1460</v>
      </c>
      <c r="F127" s="37">
        <v>65</v>
      </c>
      <c r="G127" s="35">
        <v>41</v>
      </c>
      <c r="H127" s="38">
        <v>19</v>
      </c>
      <c r="I127" s="38" t="s">
        <v>5657</v>
      </c>
      <c r="J127" s="34">
        <f>IFERROR(_xlfn.XLOOKUP(I127,Index!$A:$A,Index!$B:$B),"")</f>
        <v>2138</v>
      </c>
      <c r="L127" s="238"/>
    </row>
    <row r="128" spans="1:12" x14ac:dyDescent="0.2">
      <c r="A128" s="26"/>
      <c r="B128" s="26"/>
      <c r="C128" s="30"/>
      <c r="D128" s="35" t="s">
        <v>55</v>
      </c>
      <c r="E128" s="82" t="s">
        <v>1460</v>
      </c>
      <c r="F128" s="37">
        <v>65</v>
      </c>
      <c r="G128" s="35">
        <v>41</v>
      </c>
      <c r="H128" s="38">
        <v>19</v>
      </c>
      <c r="I128" s="38" t="s">
        <v>1652</v>
      </c>
      <c r="J128" s="34">
        <f>IFERROR(_xlfn.XLOOKUP(I128,Index!$A:$A,Index!$B:$B),"")</f>
        <v>2179</v>
      </c>
      <c r="L128" s="238"/>
    </row>
    <row r="129" spans="1:12" x14ac:dyDescent="0.2">
      <c r="A129" s="26"/>
      <c r="B129" s="26"/>
      <c r="C129" s="30"/>
      <c r="D129" s="35" t="s">
        <v>176</v>
      </c>
      <c r="E129" s="82" t="s">
        <v>1166</v>
      </c>
      <c r="F129" s="37">
        <v>80</v>
      </c>
      <c r="G129" s="35">
        <v>65</v>
      </c>
      <c r="H129" s="38">
        <v>29</v>
      </c>
      <c r="I129" s="38" t="s">
        <v>1653</v>
      </c>
      <c r="J129" s="34">
        <f>IFERROR(_xlfn.XLOOKUP(I129,Index!$A:$A,Index!$B:$B),"")</f>
        <v>4212</v>
      </c>
      <c r="L129" s="238"/>
    </row>
    <row r="130" spans="1:12" x14ac:dyDescent="0.2">
      <c r="A130" s="26"/>
      <c r="B130" s="26"/>
      <c r="C130" s="30"/>
      <c r="D130" s="35" t="s">
        <v>53</v>
      </c>
      <c r="E130" s="82" t="s">
        <v>1166</v>
      </c>
      <c r="F130" s="37">
        <v>80</v>
      </c>
      <c r="G130" s="35">
        <v>65</v>
      </c>
      <c r="H130" s="38">
        <v>29</v>
      </c>
      <c r="I130" s="38" t="s">
        <v>1654</v>
      </c>
      <c r="J130" s="34">
        <f>IFERROR(_xlfn.XLOOKUP(I130,Index!$A:$A,Index!$B:$B),"")</f>
        <v>4506</v>
      </c>
      <c r="L130" s="238"/>
    </row>
    <row r="131" spans="1:12" x14ac:dyDescent="0.2">
      <c r="A131" s="26"/>
      <c r="B131" s="26"/>
      <c r="C131" s="30"/>
      <c r="D131" s="35" t="s">
        <v>55</v>
      </c>
      <c r="E131" s="82" t="s">
        <v>1166</v>
      </c>
      <c r="F131" s="37">
        <v>80</v>
      </c>
      <c r="G131" s="35">
        <v>65</v>
      </c>
      <c r="H131" s="38">
        <v>29</v>
      </c>
      <c r="I131" s="38" t="s">
        <v>1655</v>
      </c>
      <c r="J131" s="34">
        <f>IFERROR(_xlfn.XLOOKUP(I131,Index!$A:$A,Index!$B:$B),"")</f>
        <v>4506</v>
      </c>
      <c r="L131" s="238"/>
    </row>
    <row r="132" spans="1:12" x14ac:dyDescent="0.2">
      <c r="A132" s="26"/>
      <c r="B132" s="26"/>
      <c r="C132" s="30"/>
      <c r="D132" s="35" t="s">
        <v>176</v>
      </c>
      <c r="E132" s="82" t="s">
        <v>1170</v>
      </c>
      <c r="F132" s="37">
        <v>100</v>
      </c>
      <c r="G132" s="35">
        <v>135</v>
      </c>
      <c r="H132" s="38">
        <v>61</v>
      </c>
      <c r="I132" s="38" t="s">
        <v>1656</v>
      </c>
      <c r="J132" s="34">
        <f>IFERROR(_xlfn.XLOOKUP(I132,Index!$A:$A,Index!$B:$B),"")</f>
        <v>5951</v>
      </c>
      <c r="L132" s="238"/>
    </row>
    <row r="133" spans="1:12" x14ac:dyDescent="0.2">
      <c r="A133" s="26"/>
      <c r="B133" s="26"/>
      <c r="C133" s="30"/>
      <c r="D133" s="35" t="s">
        <v>53</v>
      </c>
      <c r="E133" s="82" t="s">
        <v>1170</v>
      </c>
      <c r="F133" s="37">
        <v>100</v>
      </c>
      <c r="G133" s="35">
        <v>135</v>
      </c>
      <c r="H133" s="38">
        <v>61</v>
      </c>
      <c r="I133" s="38" t="s">
        <v>1657</v>
      </c>
      <c r="J133" s="34">
        <f>IFERROR(_xlfn.XLOOKUP(I133,Index!$A:$A,Index!$B:$B),"")</f>
        <v>6369</v>
      </c>
      <c r="L133" s="238"/>
    </row>
    <row r="134" spans="1:12" x14ac:dyDescent="0.2">
      <c r="A134" s="26"/>
      <c r="B134" s="26"/>
      <c r="C134" s="30"/>
      <c r="D134" s="35" t="s">
        <v>55</v>
      </c>
      <c r="E134" s="82" t="s">
        <v>1170</v>
      </c>
      <c r="F134" s="37">
        <v>100</v>
      </c>
      <c r="G134" s="35">
        <v>135</v>
      </c>
      <c r="H134" s="38">
        <v>61</v>
      </c>
      <c r="I134" s="38" t="s">
        <v>5658</v>
      </c>
      <c r="J134" s="34">
        <f>IFERROR(_xlfn.XLOOKUP(I134,Index!$A:$A,Index!$B:$B),"")</f>
        <v>6248</v>
      </c>
      <c r="L134" s="238"/>
    </row>
    <row r="135" spans="1:12" x14ac:dyDescent="0.2">
      <c r="A135" s="26"/>
      <c r="B135" s="26"/>
      <c r="C135" s="30"/>
      <c r="D135" s="35" t="s">
        <v>241</v>
      </c>
      <c r="E135" s="82" t="s">
        <v>1178</v>
      </c>
      <c r="F135" s="37">
        <v>150</v>
      </c>
      <c r="G135" s="35">
        <v>270</v>
      </c>
      <c r="H135" s="38">
        <v>122</v>
      </c>
      <c r="I135" s="38" t="s">
        <v>1658</v>
      </c>
      <c r="J135" s="34">
        <f>IFERROR(_xlfn.XLOOKUP(I135,Index!$A:$A,Index!$B:$B),"")</f>
        <v>10878</v>
      </c>
      <c r="L135" s="238"/>
    </row>
    <row r="136" spans="1:12" x14ac:dyDescent="0.2">
      <c r="A136" s="26"/>
      <c r="B136" s="26"/>
      <c r="C136" s="30"/>
      <c r="D136" s="35" t="s">
        <v>53</v>
      </c>
      <c r="E136" s="82" t="s">
        <v>1178</v>
      </c>
      <c r="F136" s="37">
        <v>150</v>
      </c>
      <c r="G136" s="35">
        <v>270</v>
      </c>
      <c r="H136" s="38">
        <v>122</v>
      </c>
      <c r="I136" s="38" t="s">
        <v>1659</v>
      </c>
      <c r="J136" s="34">
        <f>IFERROR(_xlfn.XLOOKUP(I136,Index!$A:$A,Index!$B:$B),"")</f>
        <v>11644</v>
      </c>
      <c r="L136" s="238"/>
    </row>
    <row r="137" spans="1:12" x14ac:dyDescent="0.2">
      <c r="A137" s="26"/>
      <c r="B137" s="26"/>
      <c r="C137" s="30"/>
      <c r="D137" s="35" t="s">
        <v>55</v>
      </c>
      <c r="E137" s="82" t="s">
        <v>1178</v>
      </c>
      <c r="F137" s="37">
        <v>150</v>
      </c>
      <c r="G137" s="35">
        <v>270</v>
      </c>
      <c r="H137" s="38">
        <v>122</v>
      </c>
      <c r="I137" s="38" t="s">
        <v>1660</v>
      </c>
      <c r="J137" s="34">
        <f>IFERROR(_xlfn.XLOOKUP(I137,Index!$A:$A,Index!$B:$B),"")</f>
        <v>11644</v>
      </c>
      <c r="L137" s="238"/>
    </row>
    <row r="138" spans="1:12" x14ac:dyDescent="0.2">
      <c r="A138" s="26"/>
      <c r="B138" s="26"/>
      <c r="C138" s="30"/>
      <c r="D138" s="35" t="s">
        <v>241</v>
      </c>
      <c r="E138" s="82" t="s">
        <v>1182</v>
      </c>
      <c r="F138" s="37">
        <v>200</v>
      </c>
      <c r="G138" s="35">
        <v>497</v>
      </c>
      <c r="H138" s="38">
        <v>225</v>
      </c>
      <c r="I138" s="38" t="s">
        <v>1661</v>
      </c>
      <c r="J138" s="34">
        <f>IFERROR(_xlfn.XLOOKUP(I138,Index!$A:$A,Index!$B:$B),"")</f>
        <v>17402</v>
      </c>
      <c r="L138" s="238"/>
    </row>
    <row r="139" spans="1:12" x14ac:dyDescent="0.2">
      <c r="A139" s="26"/>
      <c r="B139" s="26"/>
      <c r="C139" s="30"/>
      <c r="D139" s="35" t="s">
        <v>53</v>
      </c>
      <c r="E139" s="82" t="s">
        <v>1182</v>
      </c>
      <c r="F139" s="37">
        <v>200</v>
      </c>
      <c r="G139" s="35">
        <v>497</v>
      </c>
      <c r="H139" s="38">
        <v>225</v>
      </c>
      <c r="I139" s="38" t="s">
        <v>5659</v>
      </c>
      <c r="J139" s="34">
        <f>IFERROR(_xlfn.XLOOKUP(I139,Index!$A:$A,Index!$B:$B),"")</f>
        <v>18272</v>
      </c>
      <c r="L139" s="238"/>
    </row>
    <row r="140" spans="1:12" x14ac:dyDescent="0.2">
      <c r="A140" s="26"/>
      <c r="B140" s="26"/>
      <c r="C140" s="30"/>
      <c r="D140" s="35" t="s">
        <v>55</v>
      </c>
      <c r="E140" s="82" t="s">
        <v>1182</v>
      </c>
      <c r="F140" s="37">
        <v>200</v>
      </c>
      <c r="G140" s="35">
        <v>497</v>
      </c>
      <c r="H140" s="38">
        <v>225</v>
      </c>
      <c r="I140" s="38" t="s">
        <v>1662</v>
      </c>
      <c r="J140" s="34">
        <f>IFERROR(_xlfn.XLOOKUP(I140,Index!$A:$A,Index!$B:$B),"")</f>
        <v>18627</v>
      </c>
      <c r="L140" s="238"/>
    </row>
    <row r="141" spans="1:12" x14ac:dyDescent="0.2">
      <c r="A141" s="26"/>
      <c r="B141" s="26"/>
      <c r="C141" s="30"/>
      <c r="D141" s="35" t="s">
        <v>241</v>
      </c>
      <c r="E141" s="82" t="s">
        <v>1186</v>
      </c>
      <c r="F141" s="37">
        <v>250</v>
      </c>
      <c r="G141" s="35">
        <v>1045</v>
      </c>
      <c r="H141" s="38">
        <v>474</v>
      </c>
      <c r="I141" s="38" t="s">
        <v>1663</v>
      </c>
      <c r="J141" s="34">
        <f>IFERROR(_xlfn.XLOOKUP(I141,Index!$A:$A,Index!$B:$B),"")</f>
        <v>34797</v>
      </c>
      <c r="L141" s="238"/>
    </row>
    <row r="142" spans="1:12" x14ac:dyDescent="0.2">
      <c r="A142" s="26"/>
      <c r="B142" s="26"/>
      <c r="C142" s="30"/>
      <c r="D142" s="35" t="s">
        <v>53</v>
      </c>
      <c r="E142" s="82" t="s">
        <v>1186</v>
      </c>
      <c r="F142" s="37">
        <v>250</v>
      </c>
      <c r="G142" s="35">
        <v>1045</v>
      </c>
      <c r="H142" s="38">
        <v>474</v>
      </c>
      <c r="I142" s="38" t="s">
        <v>5660</v>
      </c>
      <c r="J142" s="34">
        <f>IFERROR(_xlfn.XLOOKUP(I142,Index!$A:$A,Index!$B:$B),"")</f>
        <v>36537</v>
      </c>
      <c r="L142" s="238"/>
    </row>
    <row r="143" spans="1:12" x14ac:dyDescent="0.2">
      <c r="A143" s="27"/>
      <c r="B143" s="27"/>
      <c r="C143" s="31"/>
      <c r="D143" s="35" t="s">
        <v>55</v>
      </c>
      <c r="E143" s="82" t="s">
        <v>1186</v>
      </c>
      <c r="F143" s="37">
        <v>250</v>
      </c>
      <c r="G143" s="35">
        <v>1045</v>
      </c>
      <c r="H143" s="38">
        <v>474</v>
      </c>
      <c r="I143" s="38" t="s">
        <v>5661</v>
      </c>
      <c r="J143" s="34">
        <f>IFERROR(_xlfn.XLOOKUP(I143,Index!$A:$A,Index!$B:$B),"")</f>
        <v>36537</v>
      </c>
      <c r="L143" s="238"/>
    </row>
    <row r="144" spans="1:12" x14ac:dyDescent="0.2">
      <c r="A144" s="214" t="s">
        <v>1394</v>
      </c>
      <c r="L144" s="238"/>
    </row>
    <row r="145" spans="1:12" x14ac:dyDescent="0.2">
      <c r="A145" s="214"/>
      <c r="L145" s="238"/>
    </row>
    <row r="146" spans="1:12" ht="15.75" x14ac:dyDescent="0.2">
      <c r="A146" s="217" t="s">
        <v>1640</v>
      </c>
      <c r="B146" s="47" t="s">
        <v>647</v>
      </c>
      <c r="D146" s="49"/>
      <c r="E146" s="50"/>
      <c r="F146" s="101"/>
      <c r="L146" s="238"/>
    </row>
    <row r="147" spans="1:12" ht="15" x14ac:dyDescent="0.2">
      <c r="A147" s="56" t="s">
        <v>102</v>
      </c>
      <c r="B147" s="57"/>
      <c r="C147" s="58"/>
      <c r="D147" s="58"/>
      <c r="E147" s="59"/>
      <c r="F147" s="101"/>
      <c r="L147" s="238"/>
    </row>
    <row r="148" spans="1:12" x14ac:dyDescent="0.2">
      <c r="A148" s="25" t="s">
        <v>35</v>
      </c>
      <c r="B148" s="28" t="s">
        <v>103</v>
      </c>
      <c r="C148" s="335" t="s">
        <v>38</v>
      </c>
      <c r="D148" s="335"/>
      <c r="E148" s="42" t="s">
        <v>40</v>
      </c>
      <c r="F148" s="43" t="s">
        <v>41</v>
      </c>
      <c r="L148" s="238"/>
    </row>
    <row r="149" spans="1:12" x14ac:dyDescent="0.2">
      <c r="A149" s="32"/>
      <c r="B149" s="32"/>
      <c r="C149" s="33" t="s">
        <v>44</v>
      </c>
      <c r="D149" s="33" t="s">
        <v>45</v>
      </c>
      <c r="E149" s="33"/>
      <c r="F149" s="44"/>
      <c r="L149" s="238"/>
    </row>
    <row r="150" spans="1:12" x14ac:dyDescent="0.2">
      <c r="A150" s="60" t="s">
        <v>1641</v>
      </c>
      <c r="B150" s="60" t="s">
        <v>1308</v>
      </c>
      <c r="C150" s="70">
        <v>1</v>
      </c>
      <c r="D150" s="38">
        <v>25</v>
      </c>
      <c r="E150" s="35" t="s">
        <v>1317</v>
      </c>
      <c r="F150" s="34">
        <f>IFERROR(_xlfn.XLOOKUP(E150,Index!$A:$A,Index!$B:$B),"")</f>
        <v>6</v>
      </c>
      <c r="L150" s="238"/>
    </row>
    <row r="151" spans="1:12" x14ac:dyDescent="0.2">
      <c r="A151" s="26"/>
      <c r="B151" s="26"/>
      <c r="C151" s="64">
        <v>1.25</v>
      </c>
      <c r="D151" s="116">
        <v>32</v>
      </c>
      <c r="E151" s="35" t="s">
        <v>1311</v>
      </c>
      <c r="F151" s="34">
        <f>IFERROR(_xlfn.XLOOKUP(E151,Index!$A:$A,Index!$B:$B),"")</f>
        <v>8.5</v>
      </c>
      <c r="L151" s="238"/>
    </row>
    <row r="152" spans="1:12" x14ac:dyDescent="0.2">
      <c r="A152" s="26"/>
      <c r="B152" s="26"/>
      <c r="C152" s="64">
        <v>1.5</v>
      </c>
      <c r="D152" s="116">
        <v>40</v>
      </c>
      <c r="E152" s="35" t="s">
        <v>1311</v>
      </c>
      <c r="F152" s="34">
        <f>IFERROR(_xlfn.XLOOKUP(E152,Index!$A:$A,Index!$B:$B),"")</f>
        <v>8.5</v>
      </c>
      <c r="L152" s="238"/>
    </row>
    <row r="153" spans="1:12" x14ac:dyDescent="0.2">
      <c r="A153" s="26"/>
      <c r="B153" s="26"/>
      <c r="C153" s="64">
        <v>2</v>
      </c>
      <c r="D153" s="116">
        <v>50</v>
      </c>
      <c r="E153" s="35" t="s">
        <v>1312</v>
      </c>
      <c r="F153" s="34">
        <f>IFERROR(_xlfn.XLOOKUP(E153,Index!$A:$A,Index!$B:$B),"")</f>
        <v>9</v>
      </c>
      <c r="L153" s="238"/>
    </row>
    <row r="154" spans="1:12" x14ac:dyDescent="0.2">
      <c r="A154" s="26"/>
      <c r="B154" s="26"/>
      <c r="C154" s="64">
        <v>2.5</v>
      </c>
      <c r="D154" s="116">
        <v>65</v>
      </c>
      <c r="E154" s="35" t="s">
        <v>1313</v>
      </c>
      <c r="F154" s="34">
        <f>IFERROR(_xlfn.XLOOKUP(E154,Index!$A:$A,Index!$B:$B),"")</f>
        <v>12.5</v>
      </c>
      <c r="L154" s="238"/>
    </row>
    <row r="155" spans="1:12" x14ac:dyDescent="0.2">
      <c r="A155" s="26"/>
      <c r="B155" s="26"/>
      <c r="C155" s="64">
        <v>3</v>
      </c>
      <c r="D155" s="116">
        <v>80</v>
      </c>
      <c r="E155" s="35" t="s">
        <v>1314</v>
      </c>
      <c r="F155" s="34">
        <f>IFERROR(_xlfn.XLOOKUP(E155,Index!$A:$A,Index!$B:$B),"")</f>
        <v>12.5</v>
      </c>
      <c r="L155" s="238"/>
    </row>
    <row r="156" spans="1:12" x14ac:dyDescent="0.2">
      <c r="A156" s="26"/>
      <c r="B156" s="26"/>
      <c r="C156" s="64">
        <v>4</v>
      </c>
      <c r="D156" s="116">
        <v>100</v>
      </c>
      <c r="E156" s="35" t="s">
        <v>1411</v>
      </c>
      <c r="F156" s="34">
        <f>IFERROR(_xlfn.XLOOKUP(E156,Index!$A:$A,Index!$B:$B),"")</f>
        <v>15</v>
      </c>
      <c r="L156" s="238"/>
    </row>
    <row r="157" spans="1:12" x14ac:dyDescent="0.2">
      <c r="A157" s="26"/>
      <c r="B157" s="26"/>
      <c r="C157" s="64">
        <v>6</v>
      </c>
      <c r="D157" s="116">
        <v>150</v>
      </c>
      <c r="E157" s="35" t="s">
        <v>1413</v>
      </c>
      <c r="F157" s="34">
        <f>IFERROR(_xlfn.XLOOKUP(E157,Index!$A:$A,Index!$B:$B),"")</f>
        <v>18.75</v>
      </c>
      <c r="L157" s="238"/>
    </row>
    <row r="158" spans="1:12" x14ac:dyDescent="0.2">
      <c r="A158" s="26"/>
      <c r="B158" s="26"/>
      <c r="C158" s="64">
        <v>8</v>
      </c>
      <c r="D158" s="116">
        <v>200</v>
      </c>
      <c r="E158" s="35" t="s">
        <v>1414</v>
      </c>
      <c r="F158" s="34">
        <f>IFERROR(_xlfn.XLOOKUP(E158,Index!$A:$A,Index!$B:$B),"")</f>
        <v>18.75</v>
      </c>
      <c r="L158" s="238"/>
    </row>
    <row r="159" spans="1:12" x14ac:dyDescent="0.2">
      <c r="A159" s="26"/>
      <c r="B159" s="26"/>
      <c r="C159" s="64">
        <v>10</v>
      </c>
      <c r="D159" s="116">
        <v>250</v>
      </c>
      <c r="E159" s="35" t="s">
        <v>1415</v>
      </c>
      <c r="F159" s="34">
        <f>IFERROR(_xlfn.XLOOKUP(E159,Index!$A:$A,Index!$B:$B),"")</f>
        <v>18.75</v>
      </c>
      <c r="L159" s="238"/>
    </row>
    <row r="160" spans="1:12" x14ac:dyDescent="0.2">
      <c r="A160" s="99"/>
      <c r="B160" s="132" t="s">
        <v>1315</v>
      </c>
      <c r="C160" s="70">
        <v>1</v>
      </c>
      <c r="D160" s="38">
        <v>25</v>
      </c>
      <c r="E160" s="35" t="s">
        <v>1310</v>
      </c>
      <c r="F160" s="34">
        <f>IFERROR(_xlfn.XLOOKUP(E160,Index!$A:$A,Index!$B:$B),"")</f>
        <v>6</v>
      </c>
      <c r="L160" s="238"/>
    </row>
    <row r="161" spans="1:12" x14ac:dyDescent="0.2">
      <c r="A161" s="26"/>
      <c r="B161" s="26"/>
      <c r="C161" s="64">
        <v>1.25</v>
      </c>
      <c r="D161" s="116">
        <v>32</v>
      </c>
      <c r="E161" s="35" t="s">
        <v>1311</v>
      </c>
      <c r="F161" s="34">
        <f>IFERROR(_xlfn.XLOOKUP(E161,Index!$A:$A,Index!$B:$B),"")</f>
        <v>8.5</v>
      </c>
      <c r="L161" s="238"/>
    </row>
    <row r="162" spans="1:12" x14ac:dyDescent="0.2">
      <c r="A162" s="26"/>
      <c r="B162" s="26"/>
      <c r="C162" s="64">
        <v>1.5</v>
      </c>
      <c r="D162" s="116">
        <v>40</v>
      </c>
      <c r="E162" s="35" t="s">
        <v>1318</v>
      </c>
      <c r="F162" s="34">
        <f>IFERROR(_xlfn.XLOOKUP(E162,Index!$A:$A,Index!$B:$B),"")</f>
        <v>8.5</v>
      </c>
      <c r="L162" s="238"/>
    </row>
    <row r="163" spans="1:12" x14ac:dyDescent="0.2">
      <c r="A163" s="26"/>
      <c r="B163" s="26"/>
      <c r="C163" s="64">
        <v>2</v>
      </c>
      <c r="D163" s="116">
        <v>50</v>
      </c>
      <c r="E163" s="35" t="s">
        <v>1311</v>
      </c>
      <c r="F163" s="34">
        <f>IFERROR(_xlfn.XLOOKUP(E163,Index!$A:$A,Index!$B:$B),"")</f>
        <v>8.5</v>
      </c>
      <c r="L163" s="238"/>
    </row>
    <row r="164" spans="1:12" x14ac:dyDescent="0.2">
      <c r="A164" s="26"/>
      <c r="B164" s="26"/>
      <c r="C164" s="64">
        <v>2.5</v>
      </c>
      <c r="D164" s="116">
        <v>65</v>
      </c>
      <c r="E164" s="35" t="s">
        <v>1319</v>
      </c>
      <c r="F164" s="34">
        <f>IFERROR(_xlfn.XLOOKUP(E164,Index!$A:$A,Index!$B:$B),"")</f>
        <v>12.5</v>
      </c>
      <c r="L164" s="238"/>
    </row>
    <row r="165" spans="1:12" x14ac:dyDescent="0.2">
      <c r="A165" s="26"/>
      <c r="B165" s="26"/>
      <c r="C165" s="64">
        <v>3</v>
      </c>
      <c r="D165" s="116">
        <v>80</v>
      </c>
      <c r="E165" s="35" t="s">
        <v>1320</v>
      </c>
      <c r="F165" s="34">
        <f>IFERROR(_xlfn.XLOOKUP(E165,Index!$A:$A,Index!$B:$B),"")</f>
        <v>12.5</v>
      </c>
      <c r="L165" s="238"/>
    </row>
    <row r="166" spans="1:12" x14ac:dyDescent="0.2">
      <c r="A166" s="26"/>
      <c r="B166" s="26"/>
      <c r="C166" s="64">
        <v>4</v>
      </c>
      <c r="D166" s="116">
        <v>100</v>
      </c>
      <c r="E166" s="35" t="s">
        <v>1416</v>
      </c>
      <c r="F166" s="34">
        <f>IFERROR(_xlfn.XLOOKUP(E166,Index!$A:$A,Index!$B:$B),"")</f>
        <v>15</v>
      </c>
      <c r="L166" s="238"/>
    </row>
    <row r="167" spans="1:12" x14ac:dyDescent="0.2">
      <c r="A167" s="26"/>
      <c r="B167" s="26"/>
      <c r="C167" s="64">
        <v>6</v>
      </c>
      <c r="D167" s="116">
        <v>150</v>
      </c>
      <c r="E167" s="35" t="s">
        <v>1417</v>
      </c>
      <c r="F167" s="34">
        <f>IFERROR(_xlfn.XLOOKUP(E167,Index!$A:$A,Index!$B:$B),"")</f>
        <v>18.75</v>
      </c>
      <c r="L167" s="238"/>
    </row>
    <row r="168" spans="1:12" x14ac:dyDescent="0.2">
      <c r="A168" s="26"/>
      <c r="B168" s="26"/>
      <c r="C168" s="64">
        <v>8</v>
      </c>
      <c r="D168" s="116">
        <v>200</v>
      </c>
      <c r="E168" s="35" t="s">
        <v>1418</v>
      </c>
      <c r="F168" s="34">
        <f>IFERROR(_xlfn.XLOOKUP(E168,Index!$A:$A,Index!$B:$B),"")</f>
        <v>18.75</v>
      </c>
      <c r="L168" s="238"/>
    </row>
    <row r="169" spans="1:12" x14ac:dyDescent="0.2">
      <c r="A169" s="26"/>
      <c r="B169" s="26"/>
      <c r="C169" s="64">
        <v>10</v>
      </c>
      <c r="D169" s="116">
        <v>250</v>
      </c>
      <c r="E169" s="35" t="s">
        <v>1419</v>
      </c>
      <c r="F169" s="34">
        <f>IFERROR(_xlfn.XLOOKUP(E169,Index!$A:$A,Index!$B:$B),"")</f>
        <v>26.75</v>
      </c>
      <c r="L169" s="238"/>
    </row>
    <row r="170" spans="1:12" x14ac:dyDescent="0.2">
      <c r="A170" s="26"/>
      <c r="B170" s="215" t="s">
        <v>1420</v>
      </c>
      <c r="C170" s="64">
        <v>10</v>
      </c>
      <c r="D170" s="116">
        <v>250</v>
      </c>
      <c r="E170" s="4" t="s">
        <v>1421</v>
      </c>
      <c r="F170" s="34">
        <f>IFERROR(_xlfn.XLOOKUP(E170,Index!$A:$A,Index!$B:$B),"")</f>
        <v>26.75</v>
      </c>
      <c r="L170" s="238"/>
    </row>
    <row r="171" spans="1:12" x14ac:dyDescent="0.2">
      <c r="A171" s="26"/>
      <c r="B171" s="60" t="s">
        <v>210</v>
      </c>
      <c r="C171" s="70">
        <v>1</v>
      </c>
      <c r="D171" s="38">
        <v>25</v>
      </c>
      <c r="E171" s="35" t="s">
        <v>1322</v>
      </c>
      <c r="F171" s="34">
        <f>IFERROR(_xlfn.XLOOKUP(E171,Index!$A:$A,Index!$B:$B),"")</f>
        <v>416</v>
      </c>
      <c r="L171" s="238"/>
    </row>
    <row r="172" spans="1:12" x14ac:dyDescent="0.2">
      <c r="A172" s="26"/>
      <c r="B172" s="26"/>
      <c r="C172" s="64">
        <v>1.25</v>
      </c>
      <c r="D172" s="116">
        <v>32</v>
      </c>
      <c r="E172" s="35" t="s">
        <v>1323</v>
      </c>
      <c r="F172" s="34">
        <f>IFERROR(_xlfn.XLOOKUP(E172,Index!$A:$A,Index!$B:$B),"")</f>
        <v>457.5</v>
      </c>
      <c r="L172" s="238"/>
    </row>
    <row r="173" spans="1:12" x14ac:dyDescent="0.2">
      <c r="A173" s="26"/>
      <c r="B173" s="26"/>
      <c r="C173" s="64">
        <v>1.5</v>
      </c>
      <c r="D173" s="116">
        <v>40</v>
      </c>
      <c r="E173" s="35" t="s">
        <v>1323</v>
      </c>
      <c r="F173" s="34">
        <f>IFERROR(_xlfn.XLOOKUP(E173,Index!$A:$A,Index!$B:$B),"")</f>
        <v>457.5</v>
      </c>
      <c r="L173" s="238"/>
    </row>
    <row r="174" spans="1:12" x14ac:dyDescent="0.2">
      <c r="A174" s="26"/>
      <c r="B174" s="26"/>
      <c r="C174" s="64">
        <v>2</v>
      </c>
      <c r="D174" s="116">
        <v>50</v>
      </c>
      <c r="E174" s="35" t="s">
        <v>1324</v>
      </c>
      <c r="F174" s="34">
        <f>IFERROR(_xlfn.XLOOKUP(E174,Index!$A:$A,Index!$B:$B),"")</f>
        <v>457.5</v>
      </c>
      <c r="L174" s="238"/>
    </row>
    <row r="175" spans="1:12" x14ac:dyDescent="0.2">
      <c r="A175" s="26"/>
      <c r="B175" s="26"/>
      <c r="C175" s="64">
        <v>2.5</v>
      </c>
      <c r="D175" s="116">
        <v>65</v>
      </c>
      <c r="E175" s="35" t="s">
        <v>1325</v>
      </c>
      <c r="F175" s="34">
        <f>IFERROR(_xlfn.XLOOKUP(E175,Index!$A:$A,Index!$B:$B),"")</f>
        <v>582</v>
      </c>
      <c r="L175" s="238"/>
    </row>
    <row r="176" spans="1:12" x14ac:dyDescent="0.2">
      <c r="A176" s="66"/>
      <c r="B176" s="26"/>
      <c r="C176" s="64">
        <v>3</v>
      </c>
      <c r="D176" s="116">
        <v>80</v>
      </c>
      <c r="E176" s="35" t="s">
        <v>1326</v>
      </c>
      <c r="F176" s="34">
        <f>IFERROR(_xlfn.XLOOKUP(E176,Index!$A:$A,Index!$B:$B),"")</f>
        <v>582</v>
      </c>
      <c r="L176" s="238"/>
    </row>
    <row r="177" spans="1:12" x14ac:dyDescent="0.2">
      <c r="A177" s="66"/>
      <c r="B177" s="26"/>
      <c r="C177" s="64">
        <v>4</v>
      </c>
      <c r="D177" s="116">
        <v>100</v>
      </c>
      <c r="E177" s="35" t="s">
        <v>1423</v>
      </c>
      <c r="F177" s="34">
        <f>IFERROR(_xlfn.XLOOKUP(E177,Index!$A:$A,Index!$B:$B),"")</f>
        <v>747.5</v>
      </c>
      <c r="L177" s="238"/>
    </row>
    <row r="178" spans="1:12" x14ac:dyDescent="0.2">
      <c r="A178" s="66"/>
      <c r="B178" s="60" t="s">
        <v>298</v>
      </c>
      <c r="C178" s="64">
        <v>6</v>
      </c>
      <c r="D178" s="116">
        <v>150</v>
      </c>
      <c r="E178" s="35" t="s">
        <v>1426</v>
      </c>
      <c r="F178" s="34">
        <f>IFERROR(_xlfn.XLOOKUP(E178,Index!$A:$A,Index!$B:$B),"")</f>
        <v>1953</v>
      </c>
      <c r="L178" s="238"/>
    </row>
    <row r="179" spans="1:12" x14ac:dyDescent="0.2">
      <c r="A179" s="66"/>
      <c r="B179" s="26"/>
      <c r="C179" s="64">
        <v>8</v>
      </c>
      <c r="D179" s="116">
        <v>200</v>
      </c>
      <c r="E179" s="35" t="s">
        <v>1427</v>
      </c>
      <c r="F179" s="34">
        <f>IFERROR(_xlfn.XLOOKUP(E179,Index!$A:$A,Index!$B:$B),"")</f>
        <v>2325</v>
      </c>
      <c r="L179" s="238"/>
    </row>
    <row r="180" spans="1:12" x14ac:dyDescent="0.2">
      <c r="A180" s="66"/>
      <c r="B180" s="26"/>
      <c r="C180" s="64">
        <v>10</v>
      </c>
      <c r="D180" s="116">
        <v>250</v>
      </c>
      <c r="E180" s="35" t="s">
        <v>1428</v>
      </c>
      <c r="F180" s="34">
        <f>IFERROR(_xlfn.XLOOKUP(E180,Index!$A:$A,Index!$B:$B),"")</f>
        <v>2658</v>
      </c>
      <c r="L180" s="238"/>
    </row>
    <row r="181" spans="1:12" x14ac:dyDescent="0.2">
      <c r="A181" s="26"/>
      <c r="B181" s="60" t="s">
        <v>211</v>
      </c>
      <c r="C181" s="70">
        <v>1</v>
      </c>
      <c r="D181" s="38">
        <v>25</v>
      </c>
      <c r="E181" s="35" t="s">
        <v>1328</v>
      </c>
      <c r="F181" s="34">
        <f>IFERROR(_xlfn.XLOOKUP(E181,Index!$A:$A,Index!$B:$B),"")</f>
        <v>498.5</v>
      </c>
      <c r="L181" s="238"/>
    </row>
    <row r="182" spans="1:12" x14ac:dyDescent="0.2">
      <c r="A182" s="26"/>
      <c r="B182" s="26"/>
      <c r="C182" s="64">
        <v>1.25</v>
      </c>
      <c r="D182" s="116">
        <v>32</v>
      </c>
      <c r="E182" s="35" t="s">
        <v>1329</v>
      </c>
      <c r="F182" s="34">
        <f>IFERROR(_xlfn.XLOOKUP(E182,Index!$A:$A,Index!$B:$B),"")</f>
        <v>541</v>
      </c>
      <c r="L182" s="238"/>
    </row>
    <row r="183" spans="1:12" x14ac:dyDescent="0.2">
      <c r="A183" s="26"/>
      <c r="B183" s="26"/>
      <c r="C183" s="64">
        <v>1.5</v>
      </c>
      <c r="D183" s="116">
        <v>40</v>
      </c>
      <c r="E183" s="35" t="s">
        <v>1330</v>
      </c>
      <c r="F183" s="34">
        <f>IFERROR(_xlfn.XLOOKUP(E183,Index!$A:$A,Index!$B:$B),"")</f>
        <v>541</v>
      </c>
      <c r="L183" s="238"/>
    </row>
    <row r="184" spans="1:12" x14ac:dyDescent="0.2">
      <c r="A184" s="26"/>
      <c r="B184" s="26"/>
      <c r="C184" s="64">
        <v>2</v>
      </c>
      <c r="D184" s="116">
        <v>50</v>
      </c>
      <c r="E184" s="35" t="s">
        <v>1331</v>
      </c>
      <c r="F184" s="34">
        <f>IFERROR(_xlfn.XLOOKUP(E184,Index!$A:$A,Index!$B:$B),"")</f>
        <v>541</v>
      </c>
      <c r="L184" s="238"/>
    </row>
    <row r="185" spans="1:12" x14ac:dyDescent="0.2">
      <c r="A185" s="26"/>
      <c r="B185" s="26"/>
      <c r="C185" s="64">
        <v>2.5</v>
      </c>
      <c r="D185" s="116">
        <v>65</v>
      </c>
      <c r="E185" s="35" t="s">
        <v>1332</v>
      </c>
      <c r="F185" s="34">
        <f>IFERROR(_xlfn.XLOOKUP(E185,Index!$A:$A,Index!$B:$B),"")</f>
        <v>996.5</v>
      </c>
      <c r="L185" s="238"/>
    </row>
    <row r="186" spans="1:12" x14ac:dyDescent="0.2">
      <c r="A186" s="26"/>
      <c r="B186" s="26"/>
      <c r="C186" s="64">
        <v>3</v>
      </c>
      <c r="D186" s="116">
        <v>80</v>
      </c>
      <c r="E186" s="35" t="s">
        <v>1333</v>
      </c>
      <c r="F186" s="34">
        <f>IFERROR(_xlfn.XLOOKUP(E186,Index!$A:$A,Index!$B:$B),"")</f>
        <v>996.5</v>
      </c>
      <c r="L186" s="238"/>
    </row>
    <row r="187" spans="1:12" x14ac:dyDescent="0.2">
      <c r="A187" s="26"/>
      <c r="B187" s="26"/>
      <c r="C187" s="64">
        <v>4</v>
      </c>
      <c r="D187" s="116">
        <v>100</v>
      </c>
      <c r="E187" s="35" t="s">
        <v>1430</v>
      </c>
      <c r="F187" s="34">
        <f>IFERROR(_xlfn.XLOOKUP(E187,Index!$A:$A,Index!$B:$B),"")</f>
        <v>1080</v>
      </c>
      <c r="L187" s="238"/>
    </row>
    <row r="188" spans="1:12" x14ac:dyDescent="0.2">
      <c r="A188" s="26"/>
      <c r="B188" s="26"/>
      <c r="C188" s="64">
        <v>6</v>
      </c>
      <c r="D188" s="116">
        <v>150</v>
      </c>
      <c r="E188" s="35" t="s">
        <v>1432</v>
      </c>
      <c r="F188" s="34">
        <f>IFERROR(_xlfn.XLOOKUP(E188,Index!$A:$A,Index!$B:$B),"")</f>
        <v>2658</v>
      </c>
      <c r="L188" s="238"/>
    </row>
    <row r="189" spans="1:12" x14ac:dyDescent="0.2">
      <c r="A189" s="26"/>
      <c r="B189" s="26"/>
      <c r="C189" s="64">
        <v>8</v>
      </c>
      <c r="D189" s="116">
        <v>200</v>
      </c>
      <c r="E189" s="35" t="s">
        <v>1433</v>
      </c>
      <c r="F189" s="34">
        <f>IFERROR(_xlfn.XLOOKUP(E189,Index!$A:$A,Index!$B:$B),"")</f>
        <v>2908</v>
      </c>
      <c r="L189" s="238"/>
    </row>
    <row r="190" spans="1:12" x14ac:dyDescent="0.2">
      <c r="A190" s="26"/>
      <c r="B190" s="26"/>
      <c r="C190" s="64">
        <v>10</v>
      </c>
      <c r="D190" s="116">
        <v>250</v>
      </c>
      <c r="E190" s="35" t="s">
        <v>1434</v>
      </c>
      <c r="F190" s="34">
        <f>IFERROR(_xlfn.XLOOKUP(E190,Index!$A:$A,Index!$B:$B),"")</f>
        <v>3239</v>
      </c>
      <c r="L190" s="238"/>
    </row>
    <row r="191" spans="1:12" x14ac:dyDescent="0.2">
      <c r="A191" s="26"/>
      <c r="B191" s="60" t="s">
        <v>122</v>
      </c>
      <c r="C191" s="70">
        <v>1</v>
      </c>
      <c r="D191" s="38">
        <v>25</v>
      </c>
      <c r="E191" s="35" t="s">
        <v>1335</v>
      </c>
      <c r="F191" s="34">
        <f>IFERROR(_xlfn.XLOOKUP(E191,Index!$A:$A,Index!$B:$B),"")</f>
        <v>498.5</v>
      </c>
      <c r="L191" s="238"/>
    </row>
    <row r="192" spans="1:12" x14ac:dyDescent="0.2">
      <c r="A192" s="26"/>
      <c r="B192" s="26"/>
      <c r="C192" s="64">
        <v>1.25</v>
      </c>
      <c r="D192" s="116">
        <v>32</v>
      </c>
      <c r="E192" s="35" t="s">
        <v>1336</v>
      </c>
      <c r="F192" s="34">
        <f>IFERROR(_xlfn.XLOOKUP(E192,Index!$A:$A,Index!$B:$B),"")</f>
        <v>541</v>
      </c>
      <c r="L192" s="238"/>
    </row>
    <row r="193" spans="1:12" x14ac:dyDescent="0.2">
      <c r="A193" s="26"/>
      <c r="B193" s="26"/>
      <c r="C193" s="64">
        <v>1.5</v>
      </c>
      <c r="D193" s="116">
        <v>40</v>
      </c>
      <c r="E193" s="35" t="s">
        <v>1336</v>
      </c>
      <c r="F193" s="34">
        <f>IFERROR(_xlfn.XLOOKUP(E193,Index!$A:$A,Index!$B:$B),"")</f>
        <v>541</v>
      </c>
      <c r="L193" s="238"/>
    </row>
    <row r="194" spans="1:12" x14ac:dyDescent="0.2">
      <c r="A194" s="26"/>
      <c r="B194" s="26"/>
      <c r="C194" s="64">
        <v>2</v>
      </c>
      <c r="D194" s="116">
        <v>50</v>
      </c>
      <c r="E194" s="35" t="s">
        <v>1337</v>
      </c>
      <c r="F194" s="34">
        <f>IFERROR(_xlfn.XLOOKUP(E194,Index!$A:$A,Index!$B:$B),"")</f>
        <v>541</v>
      </c>
      <c r="L194" s="238"/>
    </row>
    <row r="195" spans="1:12" x14ac:dyDescent="0.2">
      <c r="A195" s="26"/>
      <c r="B195" s="26"/>
      <c r="C195" s="64">
        <v>2.5</v>
      </c>
      <c r="D195" s="116">
        <v>65</v>
      </c>
      <c r="E195" s="35" t="s">
        <v>1338</v>
      </c>
      <c r="F195" s="34">
        <f>IFERROR(_xlfn.XLOOKUP(E195,Index!$A:$A,Index!$B:$B),"")</f>
        <v>996.5</v>
      </c>
      <c r="L195" s="238"/>
    </row>
    <row r="196" spans="1:12" x14ac:dyDescent="0.2">
      <c r="A196" s="26"/>
      <c r="B196" s="26"/>
      <c r="C196" s="64">
        <v>3</v>
      </c>
      <c r="D196" s="116">
        <v>80</v>
      </c>
      <c r="E196" s="35" t="s">
        <v>1339</v>
      </c>
      <c r="F196" s="34">
        <f>IFERROR(_xlfn.XLOOKUP(E196,Index!$A:$A,Index!$B:$B),"")</f>
        <v>996.5</v>
      </c>
      <c r="L196" s="238"/>
    </row>
    <row r="197" spans="1:12" x14ac:dyDescent="0.2">
      <c r="A197" s="26"/>
      <c r="B197" s="26"/>
      <c r="C197" s="64">
        <v>4</v>
      </c>
      <c r="D197" s="116">
        <v>100</v>
      </c>
      <c r="E197" s="35" t="s">
        <v>1436</v>
      </c>
      <c r="F197" s="34">
        <f>IFERROR(_xlfn.XLOOKUP(E197,Index!$A:$A,Index!$B:$B),"")</f>
        <v>1080</v>
      </c>
      <c r="L197" s="238"/>
    </row>
    <row r="198" spans="1:12" x14ac:dyDescent="0.2">
      <c r="A198" s="26"/>
      <c r="B198" s="26"/>
      <c r="C198" s="64">
        <v>6</v>
      </c>
      <c r="D198" s="116">
        <v>150</v>
      </c>
      <c r="E198" s="35" t="s">
        <v>1437</v>
      </c>
      <c r="F198" s="34">
        <f>IFERROR(_xlfn.XLOOKUP(E198,Index!$A:$A,Index!$B:$B),"")</f>
        <v>2658</v>
      </c>
      <c r="L198" s="238"/>
    </row>
    <row r="199" spans="1:12" x14ac:dyDescent="0.2">
      <c r="A199" s="26"/>
      <c r="B199" s="26"/>
      <c r="C199" s="64">
        <v>8</v>
      </c>
      <c r="D199" s="116">
        <v>200</v>
      </c>
      <c r="E199" s="35" t="s">
        <v>1438</v>
      </c>
      <c r="F199" s="34">
        <f>IFERROR(_xlfn.XLOOKUP(E199,Index!$A:$A,Index!$B:$B),"")</f>
        <v>2908</v>
      </c>
      <c r="L199" s="238"/>
    </row>
    <row r="200" spans="1:12" x14ac:dyDescent="0.2">
      <c r="A200" s="26"/>
      <c r="B200" s="26"/>
      <c r="C200" s="64">
        <v>10</v>
      </c>
      <c r="D200" s="116">
        <v>250</v>
      </c>
      <c r="E200" s="35" t="s">
        <v>1439</v>
      </c>
      <c r="F200" s="34">
        <f>IFERROR(_xlfn.XLOOKUP(E200,Index!$A:$A,Index!$B:$B),"")</f>
        <v>3239</v>
      </c>
      <c r="L200" s="238"/>
    </row>
    <row r="201" spans="1:12" x14ac:dyDescent="0.2">
      <c r="A201" s="26"/>
      <c r="B201" s="60" t="s">
        <v>134</v>
      </c>
      <c r="C201" s="70">
        <v>1</v>
      </c>
      <c r="D201" s="38">
        <v>25</v>
      </c>
      <c r="E201" s="35" t="s">
        <v>1341</v>
      </c>
      <c r="F201" s="34">
        <f>IFERROR(_xlfn.XLOOKUP(E201,Index!$A:$A,Index!$B:$B),"")</f>
        <v>498.5</v>
      </c>
      <c r="L201" s="238"/>
    </row>
    <row r="202" spans="1:12" x14ac:dyDescent="0.2">
      <c r="A202" s="26"/>
      <c r="B202" s="26"/>
      <c r="C202" s="64">
        <v>1.25</v>
      </c>
      <c r="D202" s="116">
        <v>32</v>
      </c>
      <c r="E202" s="35" t="s">
        <v>1342</v>
      </c>
      <c r="F202" s="34">
        <f>IFERROR(_xlfn.XLOOKUP(E202,Index!$A:$A,Index!$B:$B),"")</f>
        <v>541</v>
      </c>
      <c r="L202" s="238"/>
    </row>
    <row r="203" spans="1:12" x14ac:dyDescent="0.2">
      <c r="A203" s="26"/>
      <c r="B203" s="26"/>
      <c r="C203" s="64">
        <v>1.5</v>
      </c>
      <c r="D203" s="116">
        <v>40</v>
      </c>
      <c r="E203" s="35" t="s">
        <v>1343</v>
      </c>
      <c r="F203" s="34">
        <f>IFERROR(_xlfn.XLOOKUP(E203,Index!$A:$A,Index!$B:$B),"")</f>
        <v>541</v>
      </c>
      <c r="L203" s="238"/>
    </row>
    <row r="204" spans="1:12" x14ac:dyDescent="0.2">
      <c r="A204" s="26"/>
      <c r="B204" s="26"/>
      <c r="C204" s="64">
        <v>2</v>
      </c>
      <c r="D204" s="116">
        <v>50</v>
      </c>
      <c r="E204" s="35" t="s">
        <v>1344</v>
      </c>
      <c r="F204" s="34">
        <f>IFERROR(_xlfn.XLOOKUP(E204,Index!$A:$A,Index!$B:$B),"")</f>
        <v>541</v>
      </c>
      <c r="L204" s="238"/>
    </row>
    <row r="205" spans="1:12" x14ac:dyDescent="0.2">
      <c r="A205" s="26"/>
      <c r="B205" s="26"/>
      <c r="C205" s="64">
        <v>2.5</v>
      </c>
      <c r="D205" s="116">
        <v>65</v>
      </c>
      <c r="E205" s="35" t="s">
        <v>1345</v>
      </c>
      <c r="F205" s="34">
        <f>IFERROR(_xlfn.XLOOKUP(E205,Index!$A:$A,Index!$B:$B),"")</f>
        <v>996.5</v>
      </c>
      <c r="L205" s="238"/>
    </row>
    <row r="206" spans="1:12" x14ac:dyDescent="0.2">
      <c r="A206" s="26"/>
      <c r="B206" s="26"/>
      <c r="C206" s="64">
        <v>3</v>
      </c>
      <c r="D206" s="116">
        <v>80</v>
      </c>
      <c r="E206" s="35" t="s">
        <v>1346</v>
      </c>
      <c r="F206" s="34">
        <f>IFERROR(_xlfn.XLOOKUP(E206,Index!$A:$A,Index!$B:$B),"")</f>
        <v>996.5</v>
      </c>
      <c r="L206" s="238"/>
    </row>
    <row r="207" spans="1:12" x14ac:dyDescent="0.2">
      <c r="A207" s="26"/>
      <c r="B207" s="26"/>
      <c r="C207" s="64">
        <v>4</v>
      </c>
      <c r="D207" s="116">
        <v>100</v>
      </c>
      <c r="E207" s="35" t="s">
        <v>1441</v>
      </c>
      <c r="F207" s="34">
        <f>IFERROR(_xlfn.XLOOKUP(E207,Index!$A:$A,Index!$B:$B),"")</f>
        <v>1080</v>
      </c>
      <c r="L207" s="238"/>
    </row>
    <row r="208" spans="1:12" x14ac:dyDescent="0.2">
      <c r="A208" s="26"/>
      <c r="B208" s="26"/>
      <c r="C208" s="64">
        <v>6</v>
      </c>
      <c r="D208" s="116">
        <v>150</v>
      </c>
      <c r="E208" s="35" t="s">
        <v>1442</v>
      </c>
      <c r="F208" s="34">
        <f>IFERROR(_xlfn.XLOOKUP(E208,Index!$A:$A,Index!$B:$B),"")</f>
        <v>2658</v>
      </c>
      <c r="L208" s="238"/>
    </row>
    <row r="209" spans="1:12" x14ac:dyDescent="0.2">
      <c r="A209" s="26"/>
      <c r="B209" s="26"/>
      <c r="C209" s="64">
        <v>8</v>
      </c>
      <c r="D209" s="116">
        <v>200</v>
      </c>
      <c r="E209" s="35" t="s">
        <v>1443</v>
      </c>
      <c r="F209" s="34">
        <f>IFERROR(_xlfn.XLOOKUP(E209,Index!$A:$A,Index!$B:$B),"")</f>
        <v>2908</v>
      </c>
      <c r="L209" s="238"/>
    </row>
    <row r="210" spans="1:12" x14ac:dyDescent="0.2">
      <c r="A210" s="26"/>
      <c r="B210" s="26"/>
      <c r="C210" s="64">
        <v>10</v>
      </c>
      <c r="D210" s="116">
        <v>250</v>
      </c>
      <c r="E210" s="35" t="s">
        <v>1444</v>
      </c>
      <c r="F210" s="34">
        <f>IFERROR(_xlfn.XLOOKUP(E210,Index!$A:$A,Index!$B:$B),"")</f>
        <v>3239</v>
      </c>
      <c r="L210" s="238"/>
    </row>
    <row r="211" spans="1:12" x14ac:dyDescent="0.2">
      <c r="A211" s="26"/>
      <c r="B211" s="60" t="s">
        <v>145</v>
      </c>
      <c r="C211" s="70">
        <v>1</v>
      </c>
      <c r="D211" s="38">
        <v>25</v>
      </c>
      <c r="E211" s="35" t="s">
        <v>1348</v>
      </c>
      <c r="F211" s="34">
        <f>IFERROR(_xlfn.XLOOKUP(E211,Index!$A:$A,Index!$B:$B),"")</f>
        <v>498.5</v>
      </c>
      <c r="L211" s="238"/>
    </row>
    <row r="212" spans="1:12" x14ac:dyDescent="0.2">
      <c r="A212" s="26"/>
      <c r="B212" s="26"/>
      <c r="C212" s="64">
        <v>1.25</v>
      </c>
      <c r="D212" s="116">
        <v>32</v>
      </c>
      <c r="E212" s="35" t="s">
        <v>1349</v>
      </c>
      <c r="F212" s="34">
        <f>IFERROR(_xlfn.XLOOKUP(E212,Index!$A:$A,Index!$B:$B),"")</f>
        <v>541</v>
      </c>
      <c r="L212" s="238"/>
    </row>
    <row r="213" spans="1:12" x14ac:dyDescent="0.2">
      <c r="A213" s="26"/>
      <c r="B213" s="26"/>
      <c r="C213" s="64">
        <v>1.5</v>
      </c>
      <c r="D213" s="116">
        <v>40</v>
      </c>
      <c r="E213" s="35" t="s">
        <v>1350</v>
      </c>
      <c r="F213" s="34">
        <f>IFERROR(_xlfn.XLOOKUP(E213,Index!$A:$A,Index!$B:$B),"")</f>
        <v>541</v>
      </c>
      <c r="L213" s="238"/>
    </row>
    <row r="214" spans="1:12" x14ac:dyDescent="0.2">
      <c r="A214" s="26"/>
      <c r="B214" s="26"/>
      <c r="C214" s="64">
        <v>2</v>
      </c>
      <c r="D214" s="116">
        <v>50</v>
      </c>
      <c r="E214" s="35" t="s">
        <v>1351</v>
      </c>
      <c r="F214" s="34">
        <f>IFERROR(_xlfn.XLOOKUP(E214,Index!$A:$A,Index!$B:$B),"")</f>
        <v>541</v>
      </c>
      <c r="L214" s="238"/>
    </row>
    <row r="215" spans="1:12" x14ac:dyDescent="0.2">
      <c r="A215" s="26"/>
      <c r="B215" s="26"/>
      <c r="C215" s="64">
        <v>2.5</v>
      </c>
      <c r="D215" s="116">
        <v>65</v>
      </c>
      <c r="E215" s="35" t="s">
        <v>1352</v>
      </c>
      <c r="F215" s="34">
        <f>IFERROR(_xlfn.XLOOKUP(E215,Index!$A:$A,Index!$B:$B),"")</f>
        <v>996.5</v>
      </c>
      <c r="L215" s="238"/>
    </row>
    <row r="216" spans="1:12" x14ac:dyDescent="0.2">
      <c r="A216" s="26"/>
      <c r="B216" s="26"/>
      <c r="C216" s="64">
        <v>3</v>
      </c>
      <c r="D216" s="116">
        <v>80</v>
      </c>
      <c r="E216" s="35" t="s">
        <v>1353</v>
      </c>
      <c r="F216" s="34">
        <f>IFERROR(_xlfn.XLOOKUP(E216,Index!$A:$A,Index!$B:$B),"")</f>
        <v>996.5</v>
      </c>
      <c r="L216" s="238"/>
    </row>
    <row r="217" spans="1:12" x14ac:dyDescent="0.2">
      <c r="A217" s="26"/>
      <c r="B217" s="26"/>
      <c r="C217" s="64">
        <v>4</v>
      </c>
      <c r="D217" s="116">
        <v>100</v>
      </c>
      <c r="E217" s="35" t="s">
        <v>1446</v>
      </c>
      <c r="F217" s="34">
        <f>IFERROR(_xlfn.XLOOKUP(E217,Index!$A:$A,Index!$B:$B),"")</f>
        <v>1080</v>
      </c>
      <c r="L217" s="238"/>
    </row>
    <row r="218" spans="1:12" x14ac:dyDescent="0.2">
      <c r="A218" s="26"/>
      <c r="B218" s="26"/>
      <c r="C218" s="64">
        <v>6</v>
      </c>
      <c r="D218" s="116">
        <v>150</v>
      </c>
      <c r="E218" s="35" t="s">
        <v>1447</v>
      </c>
      <c r="F218" s="34">
        <f>IFERROR(_xlfn.XLOOKUP(E218,Index!$A:$A,Index!$B:$B),"")</f>
        <v>2658</v>
      </c>
      <c r="L218" s="238"/>
    </row>
    <row r="219" spans="1:12" x14ac:dyDescent="0.2">
      <c r="A219" s="26"/>
      <c r="B219" s="26"/>
      <c r="C219" s="64">
        <v>8</v>
      </c>
      <c r="D219" s="116">
        <v>200</v>
      </c>
      <c r="E219" s="35" t="s">
        <v>1448</v>
      </c>
      <c r="F219" s="34">
        <f>IFERROR(_xlfn.XLOOKUP(E219,Index!$A:$A,Index!$B:$B),"")</f>
        <v>2908</v>
      </c>
      <c r="L219" s="238"/>
    </row>
    <row r="220" spans="1:12" x14ac:dyDescent="0.2">
      <c r="A220" s="26"/>
      <c r="B220" s="26"/>
      <c r="C220" s="64">
        <v>10</v>
      </c>
      <c r="D220" s="116">
        <v>250</v>
      </c>
      <c r="E220" s="35" t="s">
        <v>5542</v>
      </c>
      <c r="F220" s="46">
        <f>F219+200</f>
        <v>3108</v>
      </c>
      <c r="L220" s="238"/>
    </row>
    <row r="221" spans="1:12" x14ac:dyDescent="0.2">
      <c r="A221" s="26"/>
      <c r="B221" s="60" t="s">
        <v>155</v>
      </c>
      <c r="C221" s="70">
        <v>1</v>
      </c>
      <c r="D221" s="38">
        <v>25</v>
      </c>
      <c r="E221" s="35" t="s">
        <v>1355</v>
      </c>
      <c r="F221" s="34">
        <f>IFERROR(_xlfn.XLOOKUP(E221,Index!$A:$A,Index!$B:$B),"")</f>
        <v>498.5</v>
      </c>
      <c r="L221" s="238"/>
    </row>
    <row r="222" spans="1:12" x14ac:dyDescent="0.2">
      <c r="A222" s="26"/>
      <c r="B222" s="26"/>
      <c r="C222" s="64">
        <v>1.25</v>
      </c>
      <c r="D222" s="116">
        <v>32</v>
      </c>
      <c r="E222" s="35" t="s">
        <v>1356</v>
      </c>
      <c r="F222" s="34">
        <f>IFERROR(_xlfn.XLOOKUP(E222,Index!$A:$A,Index!$B:$B),"")</f>
        <v>541</v>
      </c>
      <c r="L222" s="238"/>
    </row>
    <row r="223" spans="1:12" x14ac:dyDescent="0.2">
      <c r="A223" s="26"/>
      <c r="B223" s="26"/>
      <c r="C223" s="64">
        <v>1.5</v>
      </c>
      <c r="D223" s="116">
        <v>40</v>
      </c>
      <c r="E223" s="35" t="s">
        <v>1357</v>
      </c>
      <c r="F223" s="34">
        <f>IFERROR(_xlfn.XLOOKUP(E223,Index!$A:$A,Index!$B:$B),"")</f>
        <v>541</v>
      </c>
      <c r="L223" s="238"/>
    </row>
    <row r="224" spans="1:12" x14ac:dyDescent="0.2">
      <c r="A224" s="26"/>
      <c r="B224" s="26"/>
      <c r="C224" s="64">
        <v>2</v>
      </c>
      <c r="D224" s="116">
        <v>50</v>
      </c>
      <c r="E224" s="35" t="s">
        <v>1358</v>
      </c>
      <c r="F224" s="34">
        <f>IFERROR(_xlfn.XLOOKUP(E224,Index!$A:$A,Index!$B:$B),"")</f>
        <v>541</v>
      </c>
      <c r="L224" s="238"/>
    </row>
    <row r="225" spans="1:12" x14ac:dyDescent="0.2">
      <c r="A225" s="26"/>
      <c r="B225" s="26"/>
      <c r="C225" s="64">
        <v>2.5</v>
      </c>
      <c r="D225" s="116">
        <v>65</v>
      </c>
      <c r="E225" s="35" t="s">
        <v>1359</v>
      </c>
      <c r="F225" s="34">
        <f>IFERROR(_xlfn.XLOOKUP(E225,Index!$A:$A,Index!$B:$B),"")</f>
        <v>996.5</v>
      </c>
      <c r="L225" s="238"/>
    </row>
    <row r="226" spans="1:12" x14ac:dyDescent="0.2">
      <c r="A226" s="26"/>
      <c r="B226" s="26"/>
      <c r="C226" s="64">
        <v>3</v>
      </c>
      <c r="D226" s="116">
        <v>80</v>
      </c>
      <c r="E226" s="35" t="s">
        <v>1360</v>
      </c>
      <c r="F226" s="34">
        <f>IFERROR(_xlfn.XLOOKUP(E226,Index!$A:$A,Index!$B:$B),"")</f>
        <v>996.5</v>
      </c>
      <c r="L226" s="238"/>
    </row>
    <row r="227" spans="1:12" x14ac:dyDescent="0.2">
      <c r="A227" s="26"/>
      <c r="B227" s="26"/>
      <c r="C227" s="64">
        <v>4</v>
      </c>
      <c r="D227" s="116">
        <v>100</v>
      </c>
      <c r="E227" s="35" t="s">
        <v>1450</v>
      </c>
      <c r="F227" s="34">
        <f>IFERROR(_xlfn.XLOOKUP(E227,Index!$A:$A,Index!$B:$B),"")</f>
        <v>1080</v>
      </c>
      <c r="L227" s="238"/>
    </row>
    <row r="228" spans="1:12" x14ac:dyDescent="0.2">
      <c r="A228" s="26"/>
      <c r="B228" s="26"/>
      <c r="C228" s="64">
        <v>6</v>
      </c>
      <c r="D228" s="116">
        <v>150</v>
      </c>
      <c r="E228" s="35" t="s">
        <v>1451</v>
      </c>
      <c r="F228" s="34">
        <f>IFERROR(_xlfn.XLOOKUP(E228,Index!$A:$A,Index!$B:$B),"")</f>
        <v>2658</v>
      </c>
      <c r="L228" s="238"/>
    </row>
    <row r="229" spans="1:12" x14ac:dyDescent="0.2">
      <c r="A229" s="26"/>
      <c r="B229" s="26"/>
      <c r="C229" s="64">
        <v>8</v>
      </c>
      <c r="D229" s="116">
        <v>200</v>
      </c>
      <c r="E229" s="35" t="s">
        <v>1452</v>
      </c>
      <c r="F229" s="34">
        <f>IFERROR(_xlfn.XLOOKUP(E229,Index!$A:$A,Index!$B:$B),"")</f>
        <v>2908</v>
      </c>
      <c r="L229" s="238"/>
    </row>
    <row r="230" spans="1:12" x14ac:dyDescent="0.2">
      <c r="A230" s="99"/>
      <c r="B230" s="121"/>
      <c r="C230" s="64">
        <v>10</v>
      </c>
      <c r="D230" s="116">
        <v>250</v>
      </c>
      <c r="E230" s="35" t="s">
        <v>1453</v>
      </c>
      <c r="F230" s="34">
        <f>IFERROR(_xlfn.XLOOKUP(E230,Index!$A:$A,Index!$B:$B),"")</f>
        <v>3239</v>
      </c>
      <c r="L230" s="238"/>
    </row>
    <row r="231" spans="1:12" x14ac:dyDescent="0.2">
      <c r="A231" s="26"/>
      <c r="B231" s="60" t="s">
        <v>1361</v>
      </c>
      <c r="C231" s="70">
        <v>0.5</v>
      </c>
      <c r="D231" s="38">
        <v>15</v>
      </c>
      <c r="E231" s="35" t="s">
        <v>1362</v>
      </c>
      <c r="F231" s="34">
        <f>IFERROR(_xlfn.XLOOKUP(E231,Index!$A:$A,Index!$B:$B),"")</f>
        <v>25.5</v>
      </c>
      <c r="L231" s="238"/>
    </row>
    <row r="232" spans="1:12" x14ac:dyDescent="0.2">
      <c r="A232" s="26"/>
      <c r="B232" s="26"/>
      <c r="C232" s="64">
        <v>0.75</v>
      </c>
      <c r="D232" s="116">
        <v>20</v>
      </c>
      <c r="E232" s="35" t="s">
        <v>1362</v>
      </c>
      <c r="F232" s="34">
        <f>IFERROR(_xlfn.XLOOKUP(E232,Index!$A:$A,Index!$B:$B),"")</f>
        <v>25.5</v>
      </c>
      <c r="L232" s="238"/>
    </row>
    <row r="233" spans="1:12" x14ac:dyDescent="0.2">
      <c r="A233" s="26"/>
      <c r="B233" s="26"/>
      <c r="C233" s="64">
        <v>1</v>
      </c>
      <c r="D233" s="116">
        <v>25</v>
      </c>
      <c r="E233" s="35" t="s">
        <v>1362</v>
      </c>
      <c r="F233" s="34">
        <f>IFERROR(_xlfn.XLOOKUP(E233,Index!$A:$A,Index!$B:$B),"")</f>
        <v>25.5</v>
      </c>
      <c r="L233" s="238"/>
    </row>
    <row r="234" spans="1:12" x14ac:dyDescent="0.2">
      <c r="A234" s="26"/>
      <c r="B234" s="26"/>
      <c r="C234" s="64">
        <v>1.25</v>
      </c>
      <c r="D234" s="116">
        <v>32</v>
      </c>
      <c r="E234" s="35" t="s">
        <v>1362</v>
      </c>
      <c r="F234" s="34">
        <f>IFERROR(_xlfn.XLOOKUP(E234,Index!$A:$A,Index!$B:$B),"")</f>
        <v>25.5</v>
      </c>
      <c r="L234" s="238"/>
    </row>
    <row r="235" spans="1:12" x14ac:dyDescent="0.2">
      <c r="A235" s="26"/>
      <c r="B235" s="26"/>
      <c r="C235" s="64">
        <v>1.5</v>
      </c>
      <c r="D235" s="116">
        <v>40</v>
      </c>
      <c r="E235" s="35" t="s">
        <v>1362</v>
      </c>
      <c r="F235" s="34">
        <f>IFERROR(_xlfn.XLOOKUP(E235,Index!$A:$A,Index!$B:$B),"")</f>
        <v>25.5</v>
      </c>
      <c r="L235" s="238"/>
    </row>
    <row r="236" spans="1:12" x14ac:dyDescent="0.2">
      <c r="A236" s="26"/>
      <c r="B236" s="26"/>
      <c r="C236" s="64">
        <v>2</v>
      </c>
      <c r="D236" s="116">
        <v>50</v>
      </c>
      <c r="E236" s="35" t="s">
        <v>1363</v>
      </c>
      <c r="F236" s="34">
        <f>IFERROR(_xlfn.XLOOKUP(E236,Index!$A:$A,Index!$B:$B),"")</f>
        <v>25.5</v>
      </c>
      <c r="L236" s="238"/>
    </row>
    <row r="237" spans="1:12" x14ac:dyDescent="0.2">
      <c r="A237" s="26"/>
      <c r="B237" s="26"/>
      <c r="C237" s="64">
        <v>2.5</v>
      </c>
      <c r="D237" s="116">
        <v>65</v>
      </c>
      <c r="E237" s="35" t="s">
        <v>1363</v>
      </c>
      <c r="F237" s="34">
        <f>IFERROR(_xlfn.XLOOKUP(E237,Index!$A:$A,Index!$B:$B),"")</f>
        <v>25.5</v>
      </c>
      <c r="L237" s="238"/>
    </row>
    <row r="238" spans="1:12" x14ac:dyDescent="0.2">
      <c r="A238" s="27"/>
      <c r="B238" s="27"/>
      <c r="C238" s="64">
        <v>3</v>
      </c>
      <c r="D238" s="116">
        <v>80</v>
      </c>
      <c r="E238" s="35" t="s">
        <v>1363</v>
      </c>
      <c r="F238" s="34">
        <f>IFERROR(_xlfn.XLOOKUP(E238,Index!$A:$A,Index!$B:$B),"")</f>
        <v>25.5</v>
      </c>
      <c r="L238" s="238"/>
    </row>
    <row r="239" spans="1:12" x14ac:dyDescent="0.2">
      <c r="L239" s="238"/>
    </row>
    <row r="240" spans="1:12" x14ac:dyDescent="0.2">
      <c r="L240" s="238"/>
    </row>
    <row r="241" spans="1:12" ht="15.75" x14ac:dyDescent="0.2">
      <c r="A241" s="62" t="s">
        <v>1664</v>
      </c>
      <c r="B241" s="62" t="s">
        <v>174</v>
      </c>
      <c r="C241" s="243"/>
      <c r="D241" s="3"/>
      <c r="E241" s="8"/>
      <c r="F241" s="9"/>
      <c r="G241" s="10"/>
      <c r="H241" s="19"/>
      <c r="I241" s="19"/>
      <c r="J241" s="19"/>
      <c r="L241" s="238"/>
    </row>
    <row r="242" spans="1:12" ht="15.75" x14ac:dyDescent="0.2">
      <c r="A242" s="48" t="s">
        <v>5563</v>
      </c>
      <c r="B242" s="11"/>
      <c r="C242" s="4"/>
      <c r="D242" s="4"/>
      <c r="E242" s="5"/>
      <c r="F242" s="9"/>
      <c r="G242" s="4"/>
      <c r="H242" s="19"/>
      <c r="I242" s="19"/>
      <c r="J242" s="19"/>
      <c r="L242" s="238"/>
    </row>
    <row r="243" spans="1:12" ht="24" x14ac:dyDescent="0.2">
      <c r="A243" s="25" t="s">
        <v>35</v>
      </c>
      <c r="B243" s="28" t="s">
        <v>36</v>
      </c>
      <c r="C243" s="333" t="s">
        <v>37</v>
      </c>
      <c r="D243" s="334"/>
      <c r="E243" s="335" t="s">
        <v>38</v>
      </c>
      <c r="F243" s="336"/>
      <c r="G243" s="335" t="s">
        <v>39</v>
      </c>
      <c r="H243" s="336"/>
      <c r="I243" s="29" t="s">
        <v>1271</v>
      </c>
      <c r="J243" s="24" t="s">
        <v>3038</v>
      </c>
      <c r="L243" s="238"/>
    </row>
    <row r="244" spans="1:12" x14ac:dyDescent="0.2">
      <c r="A244" s="32"/>
      <c r="B244" s="32"/>
      <c r="C244" s="33" t="s">
        <v>42</v>
      </c>
      <c r="D244" s="33" t="s">
        <v>43</v>
      </c>
      <c r="E244" s="33" t="s">
        <v>44</v>
      </c>
      <c r="F244" s="33" t="s">
        <v>45</v>
      </c>
      <c r="G244" s="33" t="s">
        <v>46</v>
      </c>
      <c r="H244" s="39" t="s">
        <v>47</v>
      </c>
      <c r="I244" s="33"/>
      <c r="J244" s="41"/>
      <c r="L244" s="238"/>
    </row>
    <row r="245" spans="1:12" x14ac:dyDescent="0.2">
      <c r="A245" s="26" t="s">
        <v>1665</v>
      </c>
      <c r="B245" s="26" t="s">
        <v>1367</v>
      </c>
      <c r="C245" s="30" t="s">
        <v>50</v>
      </c>
      <c r="D245" s="35" t="s">
        <v>176</v>
      </c>
      <c r="E245" s="82" t="s">
        <v>1150</v>
      </c>
      <c r="F245" s="37">
        <v>25</v>
      </c>
      <c r="G245" s="35">
        <v>11</v>
      </c>
      <c r="H245" s="38">
        <v>5</v>
      </c>
      <c r="I245" s="38" t="s">
        <v>1666</v>
      </c>
      <c r="J245" s="34">
        <f>IFERROR(_xlfn.XLOOKUP(I245,Index!$A:$A,Index!$B:$B),"")</f>
        <v>2254</v>
      </c>
      <c r="L245" s="238"/>
    </row>
    <row r="246" spans="1:12" x14ac:dyDescent="0.2">
      <c r="A246" s="26"/>
      <c r="B246" s="26"/>
      <c r="C246" s="30"/>
      <c r="D246" s="35" t="s">
        <v>176</v>
      </c>
      <c r="E246" s="82" t="s">
        <v>1632</v>
      </c>
      <c r="F246" s="37">
        <v>40</v>
      </c>
      <c r="G246" s="35">
        <v>19</v>
      </c>
      <c r="H246" s="38">
        <v>9</v>
      </c>
      <c r="I246" s="38" t="s">
        <v>1667</v>
      </c>
      <c r="J246" s="34">
        <f>IFERROR(_xlfn.XLOOKUP(I246,Index!$A:$A,Index!$B:$B),"")</f>
        <v>3406</v>
      </c>
      <c r="L246" s="238"/>
    </row>
    <row r="247" spans="1:12" x14ac:dyDescent="0.2">
      <c r="A247" s="26"/>
      <c r="B247" s="26"/>
      <c r="C247" s="30"/>
      <c r="D247" s="35" t="s">
        <v>176</v>
      </c>
      <c r="E247" s="82" t="s">
        <v>1159</v>
      </c>
      <c r="F247" s="37">
        <v>50</v>
      </c>
      <c r="G247" s="35">
        <v>29</v>
      </c>
      <c r="H247" s="38">
        <v>13</v>
      </c>
      <c r="I247" s="38" t="s">
        <v>1668</v>
      </c>
      <c r="J247" s="34">
        <f>IFERROR(_xlfn.XLOOKUP(I247,Index!$A:$A,Index!$B:$B),"")</f>
        <v>4212</v>
      </c>
      <c r="L247" s="238"/>
    </row>
    <row r="248" spans="1:12" x14ac:dyDescent="0.2">
      <c r="A248" s="26"/>
      <c r="B248" s="26"/>
      <c r="C248" s="30"/>
      <c r="D248" s="35" t="s">
        <v>176</v>
      </c>
      <c r="E248" s="82" t="s">
        <v>1460</v>
      </c>
      <c r="F248" s="37">
        <v>65</v>
      </c>
      <c r="G248" s="35">
        <v>45</v>
      </c>
      <c r="H248" s="38">
        <v>20</v>
      </c>
      <c r="I248" s="38" t="s">
        <v>1638</v>
      </c>
      <c r="J248" s="34">
        <f>IFERROR(_xlfn.XLOOKUP(I248,Index!$A:$A,Index!$B:$B),"")</f>
        <v>2036</v>
      </c>
      <c r="L248" s="238"/>
    </row>
    <row r="249" spans="1:12" x14ac:dyDescent="0.2">
      <c r="A249" s="26"/>
      <c r="B249" s="26"/>
      <c r="C249" s="30"/>
      <c r="D249" s="35" t="s">
        <v>176</v>
      </c>
      <c r="E249" s="82" t="s">
        <v>1166</v>
      </c>
      <c r="F249" s="37">
        <v>80</v>
      </c>
      <c r="G249" s="35">
        <v>75</v>
      </c>
      <c r="H249" s="38">
        <v>34</v>
      </c>
      <c r="I249" s="38" t="s">
        <v>5762</v>
      </c>
      <c r="J249" s="34">
        <f>IFERROR(_xlfn.XLOOKUP(I249,Index!$A:$A,Index!$B:$B),"")</f>
        <v>6241</v>
      </c>
      <c r="L249" s="238"/>
    </row>
    <row r="250" spans="1:12" x14ac:dyDescent="0.2">
      <c r="A250" s="26"/>
      <c r="B250" s="26"/>
      <c r="C250" s="30"/>
      <c r="D250" s="35" t="s">
        <v>176</v>
      </c>
      <c r="E250" s="82" t="s">
        <v>1170</v>
      </c>
      <c r="F250" s="37">
        <v>100</v>
      </c>
      <c r="G250" s="35">
        <v>153</v>
      </c>
      <c r="H250" s="38">
        <v>69</v>
      </c>
      <c r="I250" s="38" t="s">
        <v>1669</v>
      </c>
      <c r="J250" s="34">
        <f>IFERROR(_xlfn.XLOOKUP(I250,Index!$A:$A,Index!$B:$B),"")</f>
        <v>8850</v>
      </c>
      <c r="L250" s="238"/>
    </row>
    <row r="251" spans="1:12" x14ac:dyDescent="0.2">
      <c r="A251" s="26"/>
      <c r="B251" s="26"/>
      <c r="C251" s="30"/>
      <c r="D251" s="35" t="s">
        <v>241</v>
      </c>
      <c r="E251" s="82" t="s">
        <v>1178</v>
      </c>
      <c r="F251" s="37">
        <v>150</v>
      </c>
      <c r="G251" s="35">
        <v>310</v>
      </c>
      <c r="H251" s="38">
        <v>141</v>
      </c>
      <c r="I251" s="38" t="s">
        <v>1670</v>
      </c>
      <c r="J251" s="34">
        <f>IFERROR(_xlfn.XLOOKUP(I251,Index!$A:$A,Index!$B:$B),"")</f>
        <v>16388</v>
      </c>
      <c r="L251" s="238"/>
    </row>
    <row r="252" spans="1:12" x14ac:dyDescent="0.2">
      <c r="A252" s="26"/>
      <c r="B252" s="26"/>
      <c r="C252" s="30"/>
      <c r="D252" s="35" t="s">
        <v>241</v>
      </c>
      <c r="E252" s="82" t="s">
        <v>1182</v>
      </c>
      <c r="F252" s="37">
        <v>200</v>
      </c>
      <c r="G252" s="35">
        <v>555</v>
      </c>
      <c r="H252" s="38">
        <v>252</v>
      </c>
      <c r="I252" s="38" t="s">
        <v>1671</v>
      </c>
      <c r="J252" s="34">
        <f>IFERROR(_xlfn.XLOOKUP(I252,Index!$A:$A,Index!$B:$B),"")</f>
        <v>20012</v>
      </c>
      <c r="L252" s="238"/>
    </row>
    <row r="253" spans="1:12" x14ac:dyDescent="0.2">
      <c r="A253" s="27"/>
      <c r="B253" s="27"/>
      <c r="C253" s="31"/>
      <c r="D253" s="35" t="s">
        <v>241</v>
      </c>
      <c r="E253" s="82" t="s">
        <v>1186</v>
      </c>
      <c r="F253" s="37">
        <v>250</v>
      </c>
      <c r="G253" s="35">
        <v>1282</v>
      </c>
      <c r="H253" s="38">
        <v>582</v>
      </c>
      <c r="I253" s="38" t="s">
        <v>1672</v>
      </c>
      <c r="J253" s="34">
        <f>IFERROR(_xlfn.XLOOKUP(I253,Index!$A:$A,Index!$B:$B),"")</f>
        <v>34219</v>
      </c>
      <c r="L253" s="238"/>
    </row>
    <row r="254" spans="1:12" x14ac:dyDescent="0.2">
      <c r="A254" s="214" t="s">
        <v>1394</v>
      </c>
      <c r="L254" s="238"/>
    </row>
    <row r="255" spans="1:12" x14ac:dyDescent="0.2">
      <c r="L255" s="238"/>
    </row>
    <row r="256" spans="1:12" x14ac:dyDescent="0.2">
      <c r="L256" s="238"/>
    </row>
    <row r="257" spans="1:12" ht="13.5" customHeight="1" x14ac:dyDescent="0.2">
      <c r="A257" s="62" t="s">
        <v>1664</v>
      </c>
      <c r="B257" s="62" t="s">
        <v>174</v>
      </c>
      <c r="D257" s="49"/>
      <c r="E257" s="50"/>
      <c r="F257" s="101"/>
      <c r="L257" s="238"/>
    </row>
    <row r="258" spans="1:12" ht="15.75" x14ac:dyDescent="0.2">
      <c r="A258" s="48" t="s">
        <v>102</v>
      </c>
      <c r="B258" s="11"/>
      <c r="C258" s="58"/>
      <c r="D258" s="58"/>
      <c r="E258" s="59"/>
      <c r="F258" s="101"/>
      <c r="L258" s="238"/>
    </row>
    <row r="259" spans="1:12" x14ac:dyDescent="0.2">
      <c r="A259" s="25" t="s">
        <v>35</v>
      </c>
      <c r="B259" s="28" t="s">
        <v>103</v>
      </c>
      <c r="C259" s="335" t="s">
        <v>38</v>
      </c>
      <c r="D259" s="335"/>
      <c r="E259" s="42" t="s">
        <v>40</v>
      </c>
      <c r="F259" s="43" t="s">
        <v>41</v>
      </c>
      <c r="L259" s="238"/>
    </row>
    <row r="260" spans="1:12" x14ac:dyDescent="0.2">
      <c r="A260" s="32"/>
      <c r="B260" s="32"/>
      <c r="C260" s="33" t="s">
        <v>44</v>
      </c>
      <c r="D260" s="33" t="s">
        <v>45</v>
      </c>
      <c r="E260" s="33"/>
      <c r="F260" s="44"/>
      <c r="L260" s="238"/>
    </row>
    <row r="261" spans="1:12" x14ac:dyDescent="0.2">
      <c r="A261" s="60" t="s">
        <v>1665</v>
      </c>
      <c r="B261" s="60" t="s">
        <v>1673</v>
      </c>
      <c r="C261" s="70">
        <v>1</v>
      </c>
      <c r="D261" s="38">
        <v>25</v>
      </c>
      <c r="E261" s="35" t="s">
        <v>1674</v>
      </c>
      <c r="F261" s="34">
        <f>IFERROR(_xlfn.XLOOKUP(E261,Index!$A:$A,Index!$B:$B),"")</f>
        <v>7.25</v>
      </c>
      <c r="L261" s="238"/>
    </row>
    <row r="262" spans="1:12" x14ac:dyDescent="0.2">
      <c r="A262" s="26"/>
      <c r="B262" s="26"/>
      <c r="C262" s="64">
        <v>1.5</v>
      </c>
      <c r="D262" s="116">
        <v>40</v>
      </c>
      <c r="E262" s="35" t="s">
        <v>1675</v>
      </c>
      <c r="F262" s="34">
        <f>IFERROR(_xlfn.XLOOKUP(E262,Index!$A:$A,Index!$B:$B),"")</f>
        <v>10.75</v>
      </c>
      <c r="L262" s="238"/>
    </row>
    <row r="263" spans="1:12" x14ac:dyDescent="0.2">
      <c r="A263" s="26"/>
      <c r="B263" s="26"/>
      <c r="C263" s="64">
        <v>2</v>
      </c>
      <c r="D263" s="116">
        <v>50</v>
      </c>
      <c r="E263" s="35" t="s">
        <v>1676</v>
      </c>
      <c r="F263" s="34">
        <f>IFERROR(_xlfn.XLOOKUP(E263,Index!$A:$A,Index!$B:$B),"")</f>
        <v>11.25</v>
      </c>
      <c r="L263" s="238"/>
    </row>
    <row r="264" spans="1:12" x14ac:dyDescent="0.2">
      <c r="A264" s="26"/>
      <c r="B264" s="26"/>
      <c r="C264" s="64">
        <v>2.5</v>
      </c>
      <c r="D264" s="116">
        <v>65</v>
      </c>
      <c r="E264" s="38" t="s">
        <v>5542</v>
      </c>
      <c r="F264" s="34">
        <f>F265</f>
        <v>15.75</v>
      </c>
      <c r="L264" s="238"/>
    </row>
    <row r="265" spans="1:12" x14ac:dyDescent="0.2">
      <c r="A265" s="26"/>
      <c r="B265" s="26"/>
      <c r="C265" s="64">
        <v>3</v>
      </c>
      <c r="D265" s="116">
        <v>80</v>
      </c>
      <c r="E265" s="35" t="s">
        <v>1677</v>
      </c>
      <c r="F265" s="34">
        <f>IFERROR(_xlfn.XLOOKUP(E265,Index!$A:$A,Index!$B:$B),"")</f>
        <v>15.75</v>
      </c>
      <c r="L265" s="238"/>
    </row>
    <row r="266" spans="1:12" x14ac:dyDescent="0.2">
      <c r="A266" s="26"/>
      <c r="B266" s="26"/>
      <c r="C266" s="64">
        <v>4</v>
      </c>
      <c r="D266" s="116">
        <v>100</v>
      </c>
      <c r="E266" s="35" t="s">
        <v>1678</v>
      </c>
      <c r="F266" s="34">
        <f>IFERROR(_xlfn.XLOOKUP(E266,Index!$A:$A,Index!$B:$B),"")</f>
        <v>18.75</v>
      </c>
      <c r="L266" s="238"/>
    </row>
    <row r="267" spans="1:12" x14ac:dyDescent="0.2">
      <c r="A267" s="26"/>
      <c r="B267" s="26"/>
      <c r="C267" s="64">
        <v>6</v>
      </c>
      <c r="D267" s="116">
        <v>150</v>
      </c>
      <c r="E267" s="35" t="s">
        <v>1679</v>
      </c>
      <c r="F267" s="34">
        <f>IFERROR(_xlfn.XLOOKUP(E267,Index!$A:$A,Index!$B:$B),"")</f>
        <v>23.5</v>
      </c>
      <c r="L267" s="238"/>
    </row>
    <row r="268" spans="1:12" x14ac:dyDescent="0.2">
      <c r="A268" s="26"/>
      <c r="B268" s="26"/>
      <c r="C268" s="64">
        <v>8</v>
      </c>
      <c r="D268" s="116">
        <v>200</v>
      </c>
      <c r="E268" s="35" t="s">
        <v>1680</v>
      </c>
      <c r="F268" s="34">
        <f>IFERROR(_xlfn.XLOOKUP(E268,Index!$A:$A,Index!$B:$B),"")</f>
        <v>23.5</v>
      </c>
      <c r="L268" s="238"/>
    </row>
    <row r="269" spans="1:12" x14ac:dyDescent="0.2">
      <c r="A269" s="26"/>
      <c r="B269" s="26"/>
      <c r="C269" s="64">
        <v>10</v>
      </c>
      <c r="D269" s="116">
        <v>250</v>
      </c>
      <c r="E269" s="35" t="s">
        <v>1681</v>
      </c>
      <c r="F269" s="34">
        <f>IFERROR(_xlfn.XLOOKUP(E269,Index!$A:$A,Index!$B:$B),"")</f>
        <v>23.5</v>
      </c>
      <c r="L269" s="238"/>
    </row>
    <row r="270" spans="1:12" x14ac:dyDescent="0.2">
      <c r="A270" s="99"/>
      <c r="B270" s="132" t="s">
        <v>1682</v>
      </c>
      <c r="C270" s="70">
        <v>1</v>
      </c>
      <c r="D270" s="38">
        <v>25</v>
      </c>
      <c r="E270" s="38" t="s">
        <v>1683</v>
      </c>
      <c r="F270" s="34">
        <f>IFERROR(_xlfn.XLOOKUP(E270,Index!$A:$A,Index!$B:$B),"")</f>
        <v>7.25</v>
      </c>
      <c r="L270" s="238"/>
    </row>
    <row r="271" spans="1:12" x14ac:dyDescent="0.2">
      <c r="A271" s="26"/>
      <c r="B271" s="26"/>
      <c r="C271" s="64">
        <v>1.5</v>
      </c>
      <c r="D271" s="116">
        <v>40</v>
      </c>
      <c r="E271" s="38" t="s">
        <v>1684</v>
      </c>
      <c r="F271" s="34">
        <f>IFERROR(_xlfn.XLOOKUP(E271,Index!$A:$A,Index!$B:$B),"")</f>
        <v>10.75</v>
      </c>
      <c r="L271" s="238"/>
    </row>
    <row r="272" spans="1:12" x14ac:dyDescent="0.2">
      <c r="A272" s="26"/>
      <c r="B272" s="26"/>
      <c r="C272" s="64">
        <v>2</v>
      </c>
      <c r="D272" s="116">
        <v>50</v>
      </c>
      <c r="E272" s="38" t="s">
        <v>1685</v>
      </c>
      <c r="F272" s="34">
        <f>IFERROR(_xlfn.XLOOKUP(E272,Index!$A:$A,Index!$B:$B),"")</f>
        <v>10.75</v>
      </c>
      <c r="L272" s="238"/>
    </row>
    <row r="273" spans="1:12" x14ac:dyDescent="0.2">
      <c r="A273" s="26"/>
      <c r="B273" s="26"/>
      <c r="C273" s="64">
        <v>2.5</v>
      </c>
      <c r="D273" s="116">
        <v>65</v>
      </c>
      <c r="E273" s="38" t="s">
        <v>5542</v>
      </c>
      <c r="F273" s="34">
        <f>F274</f>
        <v>15.75</v>
      </c>
      <c r="L273" s="238"/>
    </row>
    <row r="274" spans="1:12" x14ac:dyDescent="0.2">
      <c r="A274" s="26"/>
      <c r="B274" s="26"/>
      <c r="C274" s="64">
        <v>3</v>
      </c>
      <c r="D274" s="116">
        <v>80</v>
      </c>
      <c r="E274" s="35" t="s">
        <v>1686</v>
      </c>
      <c r="F274" s="34">
        <f>IFERROR(_xlfn.XLOOKUP(E274,Index!$A:$A,Index!$B:$B),"")</f>
        <v>15.75</v>
      </c>
      <c r="L274" s="238"/>
    </row>
    <row r="275" spans="1:12" x14ac:dyDescent="0.2">
      <c r="A275" s="26"/>
      <c r="B275" s="26"/>
      <c r="C275" s="64">
        <v>4</v>
      </c>
      <c r="D275" s="116">
        <v>100</v>
      </c>
      <c r="E275" s="35" t="s">
        <v>1687</v>
      </c>
      <c r="F275" s="34">
        <f>IFERROR(_xlfn.XLOOKUP(E275,Index!$A:$A,Index!$B:$B),"")</f>
        <v>18.75</v>
      </c>
      <c r="L275" s="238"/>
    </row>
    <row r="276" spans="1:12" x14ac:dyDescent="0.2">
      <c r="A276" s="26"/>
      <c r="B276" s="26"/>
      <c r="C276" s="64">
        <v>6</v>
      </c>
      <c r="D276" s="116">
        <v>150</v>
      </c>
      <c r="E276" s="35" t="s">
        <v>1688</v>
      </c>
      <c r="F276" s="34">
        <f>IFERROR(_xlfn.XLOOKUP(E276,Index!$A:$A,Index!$B:$B),"")</f>
        <v>23.5</v>
      </c>
      <c r="L276" s="238"/>
    </row>
    <row r="277" spans="1:12" x14ac:dyDescent="0.2">
      <c r="A277" s="26"/>
      <c r="B277" s="26"/>
      <c r="C277" s="64">
        <v>8</v>
      </c>
      <c r="D277" s="116">
        <v>200</v>
      </c>
      <c r="E277" s="35" t="s">
        <v>1689</v>
      </c>
      <c r="F277" s="34">
        <f>IFERROR(_xlfn.XLOOKUP(E277,Index!$A:$A,Index!$B:$B),"")</f>
        <v>23.5</v>
      </c>
      <c r="L277" s="238"/>
    </row>
    <row r="278" spans="1:12" x14ac:dyDescent="0.2">
      <c r="A278" s="26"/>
      <c r="B278" s="26"/>
      <c r="C278" s="64">
        <v>10</v>
      </c>
      <c r="D278" s="116">
        <v>250</v>
      </c>
      <c r="E278" s="35" t="s">
        <v>1690</v>
      </c>
      <c r="F278" s="34">
        <f>IFERROR(_xlfn.XLOOKUP(E278,Index!$A:$A,Index!$B:$B),"")</f>
        <v>33.5</v>
      </c>
      <c r="L278" s="238"/>
    </row>
    <row r="279" spans="1:12" x14ac:dyDescent="0.2">
      <c r="A279" s="26"/>
      <c r="B279" s="215" t="s">
        <v>1420</v>
      </c>
      <c r="C279" s="64">
        <v>10</v>
      </c>
      <c r="D279" s="116">
        <v>250</v>
      </c>
      <c r="E279" s="35" t="s">
        <v>1691</v>
      </c>
      <c r="F279" s="34">
        <f>IFERROR(_xlfn.XLOOKUP(E279,Index!$A:$A,Index!$B:$B),"")</f>
        <v>33.5</v>
      </c>
      <c r="L279" s="238"/>
    </row>
    <row r="280" spans="1:12" x14ac:dyDescent="0.2">
      <c r="A280" s="26"/>
      <c r="B280" s="60" t="s">
        <v>210</v>
      </c>
      <c r="C280" s="70">
        <v>1</v>
      </c>
      <c r="D280" s="38">
        <v>25</v>
      </c>
      <c r="E280" s="35" t="s">
        <v>1322</v>
      </c>
      <c r="F280" s="34">
        <f>IFERROR(_xlfn.XLOOKUP(E280,Index!$A:$A,Index!$B:$B),"")</f>
        <v>416</v>
      </c>
      <c r="L280" s="238"/>
    </row>
    <row r="281" spans="1:12" x14ac:dyDescent="0.2">
      <c r="A281" s="26"/>
      <c r="B281" s="26"/>
      <c r="C281" s="64">
        <v>1.5</v>
      </c>
      <c r="D281" s="116">
        <v>40</v>
      </c>
      <c r="E281" s="35" t="s">
        <v>1323</v>
      </c>
      <c r="F281" s="34">
        <f>IFERROR(_xlfn.XLOOKUP(E281,Index!$A:$A,Index!$B:$B),"")</f>
        <v>457.5</v>
      </c>
      <c r="L281" s="238"/>
    </row>
    <row r="282" spans="1:12" x14ac:dyDescent="0.2">
      <c r="A282" s="26"/>
      <c r="B282" s="26"/>
      <c r="C282" s="64">
        <v>2</v>
      </c>
      <c r="D282" s="116">
        <v>50</v>
      </c>
      <c r="E282" s="35" t="s">
        <v>1324</v>
      </c>
      <c r="F282" s="34">
        <f>IFERROR(_xlfn.XLOOKUP(E282,Index!$A:$A,Index!$B:$B),"")</f>
        <v>457.5</v>
      </c>
      <c r="L282" s="238"/>
    </row>
    <row r="283" spans="1:12" x14ac:dyDescent="0.2">
      <c r="A283" s="26"/>
      <c r="B283" s="26"/>
      <c r="C283" s="64">
        <v>2.5</v>
      </c>
      <c r="D283" s="116">
        <v>65</v>
      </c>
      <c r="E283" s="35" t="s">
        <v>1325</v>
      </c>
      <c r="F283" s="34">
        <f>IFERROR(_xlfn.XLOOKUP(E283,Index!$A:$A,Index!$B:$B),"")</f>
        <v>582</v>
      </c>
      <c r="L283" s="238"/>
    </row>
    <row r="284" spans="1:12" x14ac:dyDescent="0.2">
      <c r="A284" s="26"/>
      <c r="B284" s="26"/>
      <c r="C284" s="64">
        <v>3</v>
      </c>
      <c r="D284" s="116">
        <v>80</v>
      </c>
      <c r="E284" s="35" t="s">
        <v>1326</v>
      </c>
      <c r="F284" s="34">
        <f>IFERROR(_xlfn.XLOOKUP(E284,Index!$A:$A,Index!$B:$B),"")</f>
        <v>582</v>
      </c>
      <c r="L284" s="238"/>
    </row>
    <row r="285" spans="1:12" x14ac:dyDescent="0.2">
      <c r="A285" s="26"/>
      <c r="B285" s="26"/>
      <c r="C285" s="64">
        <v>4</v>
      </c>
      <c r="D285" s="116">
        <v>100</v>
      </c>
      <c r="E285" s="35" t="s">
        <v>1423</v>
      </c>
      <c r="F285" s="34">
        <f>IFERROR(_xlfn.XLOOKUP(E285,Index!$A:$A,Index!$B:$B),"")</f>
        <v>747.5</v>
      </c>
      <c r="L285" s="238"/>
    </row>
    <row r="286" spans="1:12" x14ac:dyDescent="0.2">
      <c r="A286" s="26"/>
      <c r="B286" s="60" t="s">
        <v>648</v>
      </c>
      <c r="C286" s="64">
        <v>6</v>
      </c>
      <c r="D286" s="116">
        <v>150</v>
      </c>
      <c r="E286" s="35" t="s">
        <v>1426</v>
      </c>
      <c r="F286" s="34">
        <f>IFERROR(_xlfn.XLOOKUP(E286,Index!$A:$A,Index!$B:$B),"")</f>
        <v>1953</v>
      </c>
      <c r="L286" s="238"/>
    </row>
    <row r="287" spans="1:12" x14ac:dyDescent="0.2">
      <c r="A287" s="26"/>
      <c r="B287" s="26"/>
      <c r="C287" s="64">
        <v>8</v>
      </c>
      <c r="D287" s="116">
        <v>200</v>
      </c>
      <c r="E287" s="35" t="s">
        <v>1427</v>
      </c>
      <c r="F287" s="34">
        <f>IFERROR(_xlfn.XLOOKUP(E287,Index!$A:$A,Index!$B:$B),"")</f>
        <v>2325</v>
      </c>
      <c r="L287" s="238"/>
    </row>
    <row r="288" spans="1:12" x14ac:dyDescent="0.2">
      <c r="A288" s="26"/>
      <c r="B288" s="26"/>
      <c r="C288" s="64">
        <v>10</v>
      </c>
      <c r="D288" s="116">
        <v>250</v>
      </c>
      <c r="E288" s="35" t="s">
        <v>1428</v>
      </c>
      <c r="F288" s="34">
        <f>IFERROR(_xlfn.XLOOKUP(E288,Index!$A:$A,Index!$B:$B),"")</f>
        <v>2658</v>
      </c>
      <c r="L288" s="238"/>
    </row>
    <row r="289" spans="1:12" x14ac:dyDescent="0.2">
      <c r="A289" s="26"/>
      <c r="B289" s="60" t="s">
        <v>211</v>
      </c>
      <c r="C289" s="70">
        <v>1</v>
      </c>
      <c r="D289" s="38">
        <v>25</v>
      </c>
      <c r="E289" s="35" t="s">
        <v>1328</v>
      </c>
      <c r="F289" s="34">
        <f>IFERROR(_xlfn.XLOOKUP(E289,Index!$A:$A,Index!$B:$B),"")</f>
        <v>498.5</v>
      </c>
      <c r="L289" s="238"/>
    </row>
    <row r="290" spans="1:12" x14ac:dyDescent="0.2">
      <c r="A290" s="26"/>
      <c r="B290" s="26"/>
      <c r="C290" s="64">
        <v>1.5</v>
      </c>
      <c r="D290" s="116">
        <v>40</v>
      </c>
      <c r="E290" s="35" t="s">
        <v>1330</v>
      </c>
      <c r="F290" s="34">
        <f>IFERROR(_xlfn.XLOOKUP(E290,Index!$A:$A,Index!$B:$B),"")</f>
        <v>541</v>
      </c>
      <c r="L290" s="238"/>
    </row>
    <row r="291" spans="1:12" x14ac:dyDescent="0.2">
      <c r="A291" s="26"/>
      <c r="B291" s="26"/>
      <c r="C291" s="64">
        <v>2</v>
      </c>
      <c r="D291" s="116">
        <v>50</v>
      </c>
      <c r="E291" s="35" t="s">
        <v>1331</v>
      </c>
      <c r="F291" s="34">
        <f>IFERROR(_xlfn.XLOOKUP(E291,Index!$A:$A,Index!$B:$B),"")</f>
        <v>541</v>
      </c>
      <c r="L291" s="238"/>
    </row>
    <row r="292" spans="1:12" x14ac:dyDescent="0.2">
      <c r="A292" s="26"/>
      <c r="B292" s="26"/>
      <c r="C292" s="64">
        <v>2.5</v>
      </c>
      <c r="D292" s="116">
        <v>65</v>
      </c>
      <c r="E292" s="35" t="s">
        <v>1332</v>
      </c>
      <c r="F292" s="34">
        <f>IFERROR(_xlfn.XLOOKUP(E292,Index!$A:$A,Index!$B:$B),"")</f>
        <v>996.5</v>
      </c>
      <c r="L292" s="238"/>
    </row>
    <row r="293" spans="1:12" x14ac:dyDescent="0.2">
      <c r="A293" s="26"/>
      <c r="B293" s="26"/>
      <c r="C293" s="64">
        <v>3</v>
      </c>
      <c r="D293" s="116">
        <v>80</v>
      </c>
      <c r="E293" s="35" t="s">
        <v>1333</v>
      </c>
      <c r="F293" s="34">
        <f>IFERROR(_xlfn.XLOOKUP(E293,Index!$A:$A,Index!$B:$B),"")</f>
        <v>996.5</v>
      </c>
      <c r="L293" s="238"/>
    </row>
    <row r="294" spans="1:12" x14ac:dyDescent="0.2">
      <c r="A294" s="26"/>
      <c r="B294" s="26"/>
      <c r="C294" s="64">
        <v>4</v>
      </c>
      <c r="D294" s="116">
        <v>100</v>
      </c>
      <c r="E294" s="35" t="s">
        <v>1430</v>
      </c>
      <c r="F294" s="34">
        <f>IFERROR(_xlfn.XLOOKUP(E294,Index!$A:$A,Index!$B:$B),"")</f>
        <v>1080</v>
      </c>
      <c r="L294" s="238"/>
    </row>
    <row r="295" spans="1:12" x14ac:dyDescent="0.2">
      <c r="A295" s="26"/>
      <c r="B295" s="26"/>
      <c r="C295" s="64">
        <v>6</v>
      </c>
      <c r="D295" s="116">
        <v>150</v>
      </c>
      <c r="E295" s="35" t="s">
        <v>1432</v>
      </c>
      <c r="F295" s="34">
        <f>IFERROR(_xlfn.XLOOKUP(E295,Index!$A:$A,Index!$B:$B),"")</f>
        <v>2658</v>
      </c>
      <c r="L295" s="238"/>
    </row>
    <row r="296" spans="1:12" x14ac:dyDescent="0.2">
      <c r="A296" s="26"/>
      <c r="B296" s="26"/>
      <c r="C296" s="64">
        <v>8</v>
      </c>
      <c r="D296" s="116">
        <v>200</v>
      </c>
      <c r="E296" s="35" t="s">
        <v>1433</v>
      </c>
      <c r="F296" s="34">
        <f>IFERROR(_xlfn.XLOOKUP(E296,Index!$A:$A,Index!$B:$B),"")</f>
        <v>2908</v>
      </c>
      <c r="L296" s="238"/>
    </row>
    <row r="297" spans="1:12" x14ac:dyDescent="0.2">
      <c r="A297" s="26"/>
      <c r="B297" s="26"/>
      <c r="C297" s="64">
        <v>10</v>
      </c>
      <c r="D297" s="116">
        <v>250</v>
      </c>
      <c r="E297" s="35" t="s">
        <v>1434</v>
      </c>
      <c r="F297" s="34">
        <f>IFERROR(_xlfn.XLOOKUP(E297,Index!$A:$A,Index!$B:$B),"")</f>
        <v>3239</v>
      </c>
      <c r="L297" s="238"/>
    </row>
    <row r="298" spans="1:12" x14ac:dyDescent="0.2">
      <c r="A298" s="26"/>
      <c r="B298" s="60" t="s">
        <v>122</v>
      </c>
      <c r="C298" s="70">
        <v>1</v>
      </c>
      <c r="D298" s="38">
        <v>25</v>
      </c>
      <c r="E298" s="35" t="s">
        <v>1335</v>
      </c>
      <c r="F298" s="34">
        <f>IFERROR(_xlfn.XLOOKUP(E298,Index!$A:$A,Index!$B:$B),"")</f>
        <v>498.5</v>
      </c>
      <c r="L298" s="238"/>
    </row>
    <row r="299" spans="1:12" x14ac:dyDescent="0.2">
      <c r="A299" s="26"/>
      <c r="B299" s="26"/>
      <c r="C299" s="64">
        <v>1.5</v>
      </c>
      <c r="D299" s="116">
        <v>40</v>
      </c>
      <c r="E299" s="35" t="s">
        <v>1336</v>
      </c>
      <c r="F299" s="34">
        <f>IFERROR(_xlfn.XLOOKUP(E299,Index!$A:$A,Index!$B:$B),"")</f>
        <v>541</v>
      </c>
      <c r="L299" s="238"/>
    </row>
    <row r="300" spans="1:12" x14ac:dyDescent="0.2">
      <c r="A300" s="26"/>
      <c r="B300" s="26"/>
      <c r="C300" s="64">
        <v>2</v>
      </c>
      <c r="D300" s="116">
        <v>50</v>
      </c>
      <c r="E300" s="35" t="s">
        <v>1337</v>
      </c>
      <c r="F300" s="34">
        <f>IFERROR(_xlfn.XLOOKUP(E300,Index!$A:$A,Index!$B:$B),"")</f>
        <v>541</v>
      </c>
      <c r="L300" s="238"/>
    </row>
    <row r="301" spans="1:12" x14ac:dyDescent="0.2">
      <c r="A301" s="26"/>
      <c r="B301" s="26"/>
      <c r="C301" s="64">
        <v>2.5</v>
      </c>
      <c r="D301" s="116">
        <v>65</v>
      </c>
      <c r="E301" s="35" t="s">
        <v>1338</v>
      </c>
      <c r="F301" s="34">
        <f>IFERROR(_xlfn.XLOOKUP(E301,Index!$A:$A,Index!$B:$B),"")</f>
        <v>996.5</v>
      </c>
      <c r="L301" s="238"/>
    </row>
    <row r="302" spans="1:12" x14ac:dyDescent="0.2">
      <c r="A302" s="26"/>
      <c r="B302" s="26"/>
      <c r="C302" s="64">
        <v>3</v>
      </c>
      <c r="D302" s="116">
        <v>80</v>
      </c>
      <c r="E302" s="35" t="s">
        <v>1339</v>
      </c>
      <c r="F302" s="34">
        <f>IFERROR(_xlfn.XLOOKUP(E302,Index!$A:$A,Index!$B:$B),"")</f>
        <v>996.5</v>
      </c>
      <c r="L302" s="238"/>
    </row>
    <row r="303" spans="1:12" x14ac:dyDescent="0.2">
      <c r="A303" s="26"/>
      <c r="B303" s="26"/>
      <c r="C303" s="64">
        <v>4</v>
      </c>
      <c r="D303" s="116">
        <v>100</v>
      </c>
      <c r="E303" s="35" t="s">
        <v>1436</v>
      </c>
      <c r="F303" s="34">
        <f>IFERROR(_xlfn.XLOOKUP(E303,Index!$A:$A,Index!$B:$B),"")</f>
        <v>1080</v>
      </c>
      <c r="L303" s="238"/>
    </row>
    <row r="304" spans="1:12" x14ac:dyDescent="0.2">
      <c r="A304" s="26"/>
      <c r="B304" s="26"/>
      <c r="C304" s="64">
        <v>6</v>
      </c>
      <c r="D304" s="116">
        <v>150</v>
      </c>
      <c r="E304" s="35" t="s">
        <v>1437</v>
      </c>
      <c r="F304" s="34">
        <f>IFERROR(_xlfn.XLOOKUP(E304,Index!$A:$A,Index!$B:$B),"")</f>
        <v>2658</v>
      </c>
      <c r="L304" s="238"/>
    </row>
    <row r="305" spans="1:12" x14ac:dyDescent="0.2">
      <c r="A305" s="26"/>
      <c r="B305" s="26"/>
      <c r="C305" s="64">
        <v>8</v>
      </c>
      <c r="D305" s="116">
        <v>200</v>
      </c>
      <c r="E305" s="35" t="s">
        <v>1438</v>
      </c>
      <c r="F305" s="34">
        <f>IFERROR(_xlfn.XLOOKUP(E305,Index!$A:$A,Index!$B:$B),"")</f>
        <v>2908</v>
      </c>
      <c r="L305" s="238"/>
    </row>
    <row r="306" spans="1:12" x14ac:dyDescent="0.2">
      <c r="A306" s="26"/>
      <c r="B306" s="26"/>
      <c r="C306" s="64">
        <v>10</v>
      </c>
      <c r="D306" s="116">
        <v>250</v>
      </c>
      <c r="E306" s="35" t="s">
        <v>1439</v>
      </c>
      <c r="F306" s="34">
        <f>IFERROR(_xlfn.XLOOKUP(E306,Index!$A:$A,Index!$B:$B),"")</f>
        <v>3239</v>
      </c>
      <c r="L306" s="238"/>
    </row>
    <row r="307" spans="1:12" x14ac:dyDescent="0.2">
      <c r="A307" s="26"/>
      <c r="B307" s="60" t="s">
        <v>134</v>
      </c>
      <c r="C307" s="70">
        <v>1</v>
      </c>
      <c r="D307" s="38">
        <v>25</v>
      </c>
      <c r="E307" s="35" t="s">
        <v>1341</v>
      </c>
      <c r="F307" s="34">
        <f>IFERROR(_xlfn.XLOOKUP(E307,Index!$A:$A,Index!$B:$B),"")</f>
        <v>498.5</v>
      </c>
      <c r="L307" s="238"/>
    </row>
    <row r="308" spans="1:12" x14ac:dyDescent="0.2">
      <c r="A308" s="26"/>
      <c r="B308" s="26"/>
      <c r="C308" s="64">
        <v>1.5</v>
      </c>
      <c r="D308" s="116">
        <v>40</v>
      </c>
      <c r="E308" s="35" t="s">
        <v>1343</v>
      </c>
      <c r="F308" s="34">
        <f>IFERROR(_xlfn.XLOOKUP(E308,Index!$A:$A,Index!$B:$B),"")</f>
        <v>541</v>
      </c>
      <c r="L308" s="238"/>
    </row>
    <row r="309" spans="1:12" x14ac:dyDescent="0.2">
      <c r="A309" s="26"/>
      <c r="B309" s="26"/>
      <c r="C309" s="64">
        <v>2</v>
      </c>
      <c r="D309" s="116">
        <v>50</v>
      </c>
      <c r="E309" s="35" t="s">
        <v>1344</v>
      </c>
      <c r="F309" s="34">
        <f>IFERROR(_xlfn.XLOOKUP(E309,Index!$A:$A,Index!$B:$B),"")</f>
        <v>541</v>
      </c>
      <c r="L309" s="238"/>
    </row>
    <row r="310" spans="1:12" x14ac:dyDescent="0.2">
      <c r="A310" s="26"/>
      <c r="B310" s="26"/>
      <c r="C310" s="64">
        <v>2.5</v>
      </c>
      <c r="D310" s="116">
        <v>65</v>
      </c>
      <c r="E310" s="35" t="s">
        <v>1345</v>
      </c>
      <c r="F310" s="34">
        <f>IFERROR(_xlfn.XLOOKUP(E310,Index!$A:$A,Index!$B:$B),"")</f>
        <v>996.5</v>
      </c>
      <c r="L310" s="238"/>
    </row>
    <row r="311" spans="1:12" x14ac:dyDescent="0.2">
      <c r="A311" s="26"/>
      <c r="B311" s="26"/>
      <c r="C311" s="64">
        <v>3</v>
      </c>
      <c r="D311" s="116">
        <v>80</v>
      </c>
      <c r="E311" s="35" t="s">
        <v>1346</v>
      </c>
      <c r="F311" s="34">
        <f>IFERROR(_xlfn.XLOOKUP(E311,Index!$A:$A,Index!$B:$B),"")</f>
        <v>996.5</v>
      </c>
      <c r="L311" s="238"/>
    </row>
    <row r="312" spans="1:12" x14ac:dyDescent="0.2">
      <c r="A312" s="26"/>
      <c r="B312" s="26"/>
      <c r="C312" s="64">
        <v>4</v>
      </c>
      <c r="D312" s="116">
        <v>100</v>
      </c>
      <c r="E312" s="35" t="s">
        <v>1441</v>
      </c>
      <c r="F312" s="34">
        <f>IFERROR(_xlfn.XLOOKUP(E312,Index!$A:$A,Index!$B:$B),"")</f>
        <v>1080</v>
      </c>
      <c r="L312" s="238"/>
    </row>
    <row r="313" spans="1:12" x14ac:dyDescent="0.2">
      <c r="A313" s="26"/>
      <c r="B313" s="26"/>
      <c r="C313" s="64">
        <v>6</v>
      </c>
      <c r="D313" s="116">
        <v>150</v>
      </c>
      <c r="E313" s="35" t="s">
        <v>1442</v>
      </c>
      <c r="F313" s="34">
        <f>IFERROR(_xlfn.XLOOKUP(E313,Index!$A:$A,Index!$B:$B),"")</f>
        <v>2658</v>
      </c>
      <c r="L313" s="238"/>
    </row>
    <row r="314" spans="1:12" x14ac:dyDescent="0.2">
      <c r="A314" s="26"/>
      <c r="B314" s="26"/>
      <c r="C314" s="64">
        <v>8</v>
      </c>
      <c r="D314" s="116">
        <v>200</v>
      </c>
      <c r="E314" s="35" t="s">
        <v>1443</v>
      </c>
      <c r="F314" s="34">
        <f>IFERROR(_xlfn.XLOOKUP(E314,Index!$A:$A,Index!$B:$B),"")</f>
        <v>2908</v>
      </c>
      <c r="L314" s="238"/>
    </row>
    <row r="315" spans="1:12" x14ac:dyDescent="0.2">
      <c r="A315" s="26"/>
      <c r="B315" s="26"/>
      <c r="C315" s="64">
        <v>10</v>
      </c>
      <c r="D315" s="116">
        <v>250</v>
      </c>
      <c r="E315" s="35" t="s">
        <v>1444</v>
      </c>
      <c r="F315" s="34">
        <f>IFERROR(_xlfn.XLOOKUP(E315,Index!$A:$A,Index!$B:$B),"")</f>
        <v>3239</v>
      </c>
      <c r="L315" s="238"/>
    </row>
    <row r="316" spans="1:12" x14ac:dyDescent="0.2">
      <c r="A316" s="26"/>
      <c r="B316" s="60" t="s">
        <v>145</v>
      </c>
      <c r="C316" s="70">
        <v>1</v>
      </c>
      <c r="D316" s="38">
        <v>25</v>
      </c>
      <c r="E316" s="35" t="s">
        <v>1348</v>
      </c>
      <c r="F316" s="34">
        <f>IFERROR(_xlfn.XLOOKUP(E316,Index!$A:$A,Index!$B:$B),"")</f>
        <v>498.5</v>
      </c>
      <c r="L316" s="238"/>
    </row>
    <row r="317" spans="1:12" x14ac:dyDescent="0.2">
      <c r="A317" s="26"/>
      <c r="B317" s="26"/>
      <c r="C317" s="64">
        <v>1.5</v>
      </c>
      <c r="D317" s="116">
        <v>40</v>
      </c>
      <c r="E317" s="35" t="s">
        <v>1350</v>
      </c>
      <c r="F317" s="34">
        <f>IFERROR(_xlfn.XLOOKUP(E317,Index!$A:$A,Index!$B:$B),"")</f>
        <v>541</v>
      </c>
      <c r="L317" s="238"/>
    </row>
    <row r="318" spans="1:12" x14ac:dyDescent="0.2">
      <c r="A318" s="26"/>
      <c r="B318" s="26"/>
      <c r="C318" s="64">
        <v>2</v>
      </c>
      <c r="D318" s="116">
        <v>50</v>
      </c>
      <c r="E318" s="35" t="s">
        <v>1351</v>
      </c>
      <c r="F318" s="34">
        <f>IFERROR(_xlfn.XLOOKUP(E318,Index!$A:$A,Index!$B:$B),"")</f>
        <v>541</v>
      </c>
      <c r="L318" s="238"/>
    </row>
    <row r="319" spans="1:12" x14ac:dyDescent="0.2">
      <c r="A319" s="26"/>
      <c r="B319" s="26"/>
      <c r="C319" s="64">
        <v>2.5</v>
      </c>
      <c r="D319" s="116">
        <v>65</v>
      </c>
      <c r="E319" s="35" t="s">
        <v>1352</v>
      </c>
      <c r="F319" s="34">
        <f>IFERROR(_xlfn.XLOOKUP(E319,Index!$A:$A,Index!$B:$B),"")</f>
        <v>996.5</v>
      </c>
      <c r="L319" s="238"/>
    </row>
    <row r="320" spans="1:12" x14ac:dyDescent="0.2">
      <c r="A320" s="26"/>
      <c r="B320" s="26"/>
      <c r="C320" s="64">
        <v>3</v>
      </c>
      <c r="D320" s="116">
        <v>80</v>
      </c>
      <c r="E320" s="35" t="s">
        <v>1353</v>
      </c>
      <c r="F320" s="34">
        <f>IFERROR(_xlfn.XLOOKUP(E320,Index!$A:$A,Index!$B:$B),"")</f>
        <v>996.5</v>
      </c>
      <c r="L320" s="238"/>
    </row>
    <row r="321" spans="1:12" x14ac:dyDescent="0.2">
      <c r="A321" s="26"/>
      <c r="B321" s="26"/>
      <c r="C321" s="64">
        <v>4</v>
      </c>
      <c r="D321" s="116">
        <v>100</v>
      </c>
      <c r="E321" s="35" t="s">
        <v>1446</v>
      </c>
      <c r="F321" s="34">
        <f>IFERROR(_xlfn.XLOOKUP(E321,Index!$A:$A,Index!$B:$B),"")</f>
        <v>1080</v>
      </c>
      <c r="L321" s="238"/>
    </row>
    <row r="322" spans="1:12" x14ac:dyDescent="0.2">
      <c r="A322" s="26"/>
      <c r="B322" s="26"/>
      <c r="C322" s="64">
        <v>6</v>
      </c>
      <c r="D322" s="116">
        <v>150</v>
      </c>
      <c r="E322" s="35" t="s">
        <v>1447</v>
      </c>
      <c r="F322" s="34">
        <f>IFERROR(_xlfn.XLOOKUP(E322,Index!$A:$A,Index!$B:$B),"")</f>
        <v>2658</v>
      </c>
      <c r="L322" s="238"/>
    </row>
    <row r="323" spans="1:12" x14ac:dyDescent="0.2">
      <c r="A323" s="26"/>
      <c r="B323" s="26"/>
      <c r="C323" s="64">
        <v>8</v>
      </c>
      <c r="D323" s="116">
        <v>200</v>
      </c>
      <c r="E323" s="35" t="s">
        <v>1448</v>
      </c>
      <c r="F323" s="34">
        <f>IFERROR(_xlfn.XLOOKUP(E323,Index!$A:$A,Index!$B:$B),"")</f>
        <v>2908</v>
      </c>
      <c r="L323" s="238"/>
    </row>
    <row r="324" spans="1:12" x14ac:dyDescent="0.2">
      <c r="A324" s="26"/>
      <c r="B324" s="26"/>
      <c r="C324" s="64">
        <v>10</v>
      </c>
      <c r="D324" s="116">
        <v>250</v>
      </c>
      <c r="E324" s="38" t="s">
        <v>5542</v>
      </c>
      <c r="F324" s="250">
        <f>F315</f>
        <v>3239</v>
      </c>
      <c r="L324" s="238"/>
    </row>
    <row r="325" spans="1:12" x14ac:dyDescent="0.2">
      <c r="A325" s="26"/>
      <c r="B325" s="60" t="s">
        <v>155</v>
      </c>
      <c r="C325" s="70">
        <v>1</v>
      </c>
      <c r="D325" s="38">
        <v>25</v>
      </c>
      <c r="E325" s="35" t="s">
        <v>1355</v>
      </c>
      <c r="F325" s="34">
        <f>IFERROR(_xlfn.XLOOKUP(E325,Index!$A:$A,Index!$B:$B),"")</f>
        <v>498.5</v>
      </c>
      <c r="L325" s="238"/>
    </row>
    <row r="326" spans="1:12" x14ac:dyDescent="0.2">
      <c r="A326" s="26"/>
      <c r="B326" s="26"/>
      <c r="C326" s="64">
        <v>1.5</v>
      </c>
      <c r="D326" s="116">
        <v>40</v>
      </c>
      <c r="E326" s="35" t="s">
        <v>1357</v>
      </c>
      <c r="F326" s="34">
        <f>IFERROR(_xlfn.XLOOKUP(E326,Index!$A:$A,Index!$B:$B),"")</f>
        <v>541</v>
      </c>
      <c r="L326" s="238"/>
    </row>
    <row r="327" spans="1:12" x14ac:dyDescent="0.2">
      <c r="A327" s="26"/>
      <c r="B327" s="26"/>
      <c r="C327" s="64">
        <v>2</v>
      </c>
      <c r="D327" s="116">
        <v>50</v>
      </c>
      <c r="E327" s="35" t="s">
        <v>1358</v>
      </c>
      <c r="F327" s="34">
        <f>IFERROR(_xlfn.XLOOKUP(E327,Index!$A:$A,Index!$B:$B),"")</f>
        <v>541</v>
      </c>
      <c r="L327" s="238"/>
    </row>
    <row r="328" spans="1:12" x14ac:dyDescent="0.2">
      <c r="A328" s="26"/>
      <c r="B328" s="26"/>
      <c r="C328" s="64">
        <v>2.5</v>
      </c>
      <c r="D328" s="116">
        <v>65</v>
      </c>
      <c r="E328" s="35" t="s">
        <v>1359</v>
      </c>
      <c r="F328" s="34">
        <f>IFERROR(_xlfn.XLOOKUP(E328,Index!$A:$A,Index!$B:$B),"")</f>
        <v>996.5</v>
      </c>
      <c r="L328" s="238"/>
    </row>
    <row r="329" spans="1:12" x14ac:dyDescent="0.2">
      <c r="A329" s="26"/>
      <c r="B329" s="26"/>
      <c r="C329" s="64">
        <v>3</v>
      </c>
      <c r="D329" s="116">
        <v>80</v>
      </c>
      <c r="E329" s="35" t="s">
        <v>1360</v>
      </c>
      <c r="F329" s="34">
        <f>IFERROR(_xlfn.XLOOKUP(E329,Index!$A:$A,Index!$B:$B),"")</f>
        <v>996.5</v>
      </c>
      <c r="L329" s="238"/>
    </row>
    <row r="330" spans="1:12" x14ac:dyDescent="0.2">
      <c r="A330" s="26"/>
      <c r="B330" s="26"/>
      <c r="C330" s="64">
        <v>4</v>
      </c>
      <c r="D330" s="116">
        <v>100</v>
      </c>
      <c r="E330" s="35" t="s">
        <v>1450</v>
      </c>
      <c r="F330" s="34">
        <f>IFERROR(_xlfn.XLOOKUP(E330,Index!$A:$A,Index!$B:$B),"")</f>
        <v>1080</v>
      </c>
      <c r="L330" s="238"/>
    </row>
    <row r="331" spans="1:12" x14ac:dyDescent="0.2">
      <c r="A331" s="26"/>
      <c r="B331" s="26"/>
      <c r="C331" s="64">
        <v>6</v>
      </c>
      <c r="D331" s="116">
        <v>150</v>
      </c>
      <c r="E331" s="35" t="s">
        <v>1451</v>
      </c>
      <c r="F331" s="34">
        <f>IFERROR(_xlfn.XLOOKUP(E331,Index!$A:$A,Index!$B:$B),"")</f>
        <v>2658</v>
      </c>
      <c r="L331" s="238"/>
    </row>
    <row r="332" spans="1:12" x14ac:dyDescent="0.2">
      <c r="A332" s="26"/>
      <c r="B332" s="26"/>
      <c r="C332" s="64">
        <v>8</v>
      </c>
      <c r="D332" s="116">
        <v>200</v>
      </c>
      <c r="E332" s="35" t="s">
        <v>1452</v>
      </c>
      <c r="F332" s="34">
        <f>IFERROR(_xlfn.XLOOKUP(E332,Index!$A:$A,Index!$B:$B),"")</f>
        <v>2908</v>
      </c>
      <c r="L332" s="238"/>
    </row>
    <row r="333" spans="1:12" x14ac:dyDescent="0.2">
      <c r="A333" s="27"/>
      <c r="B333" s="27"/>
      <c r="C333" s="64">
        <v>10</v>
      </c>
      <c r="D333" s="116">
        <v>250</v>
      </c>
      <c r="E333" s="35" t="s">
        <v>1453</v>
      </c>
      <c r="F333" s="34">
        <f>IFERROR(_xlfn.XLOOKUP(E333,Index!$A:$A,Index!$B:$B),"")</f>
        <v>3239</v>
      </c>
      <c r="L333" s="238"/>
    </row>
    <row r="334" spans="1:12" x14ac:dyDescent="0.2">
      <c r="L334" s="238"/>
    </row>
    <row r="335" spans="1:12" x14ac:dyDescent="0.2">
      <c r="L335" s="238"/>
    </row>
    <row r="336" spans="1:12" ht="15.75" x14ac:dyDescent="0.2">
      <c r="A336" s="62" t="s">
        <v>1692</v>
      </c>
      <c r="B336" s="62" t="s">
        <v>647</v>
      </c>
      <c r="C336" s="243"/>
      <c r="D336" s="3"/>
      <c r="E336" s="8"/>
      <c r="F336" s="9"/>
      <c r="G336" s="10"/>
      <c r="H336" s="19"/>
      <c r="I336" s="19"/>
      <c r="J336" s="20"/>
      <c r="L336" s="238"/>
    </row>
    <row r="337" spans="1:12" ht="15.75" x14ac:dyDescent="0.2">
      <c r="A337" s="48" t="s">
        <v>1693</v>
      </c>
      <c r="B337" s="11"/>
      <c r="C337" s="4"/>
      <c r="D337" s="4"/>
      <c r="E337" s="5"/>
      <c r="F337" s="9"/>
      <c r="G337" s="4"/>
      <c r="H337" s="19"/>
      <c r="I337" s="19"/>
      <c r="J337" s="20"/>
      <c r="L337" s="238"/>
    </row>
    <row r="338" spans="1:12" ht="24" x14ac:dyDescent="0.2">
      <c r="A338" s="25" t="s">
        <v>35</v>
      </c>
      <c r="B338" s="28" t="s">
        <v>36</v>
      </c>
      <c r="C338" s="29" t="s">
        <v>37</v>
      </c>
      <c r="D338" s="22"/>
      <c r="E338" s="22" t="s">
        <v>38</v>
      </c>
      <c r="F338" s="22"/>
      <c r="G338" s="23" t="s">
        <v>39</v>
      </c>
      <c r="H338" s="23"/>
      <c r="I338" s="29" t="s">
        <v>1271</v>
      </c>
      <c r="J338" s="24" t="s">
        <v>41</v>
      </c>
      <c r="L338" s="238"/>
    </row>
    <row r="339" spans="1:12" x14ac:dyDescent="0.2">
      <c r="A339" s="32"/>
      <c r="B339" s="32"/>
      <c r="C339" s="33" t="s">
        <v>42</v>
      </c>
      <c r="D339" s="33" t="s">
        <v>43</v>
      </c>
      <c r="E339" s="33" t="s">
        <v>44</v>
      </c>
      <c r="F339" s="33" t="s">
        <v>45</v>
      </c>
      <c r="G339" s="33" t="s">
        <v>46</v>
      </c>
      <c r="H339" s="39" t="s">
        <v>47</v>
      </c>
      <c r="I339" s="33"/>
      <c r="J339" s="41"/>
      <c r="L339" s="238"/>
    </row>
    <row r="340" spans="1:12" x14ac:dyDescent="0.2">
      <c r="A340" s="26" t="s">
        <v>1694</v>
      </c>
      <c r="B340" s="26" t="s">
        <v>1695</v>
      </c>
      <c r="C340" s="30" t="s">
        <v>50</v>
      </c>
      <c r="D340" s="35" t="s">
        <v>176</v>
      </c>
      <c r="E340" s="82" t="s">
        <v>1632</v>
      </c>
      <c r="F340" s="37">
        <v>40</v>
      </c>
      <c r="G340" s="35">
        <v>23</v>
      </c>
      <c r="H340" s="38">
        <v>10.4</v>
      </c>
      <c r="I340" s="38" t="s">
        <v>1696</v>
      </c>
      <c r="J340" s="34">
        <f>IFERROR(_xlfn.XLOOKUP(I340,Index!$A:$A,Index!$B:$B),"")</f>
        <v>1546</v>
      </c>
      <c r="L340" s="238"/>
    </row>
    <row r="341" spans="1:12" x14ac:dyDescent="0.2">
      <c r="A341" s="26"/>
      <c r="B341" s="26"/>
      <c r="C341" s="30"/>
      <c r="D341" s="35" t="s">
        <v>53</v>
      </c>
      <c r="E341" s="82" t="s">
        <v>1632</v>
      </c>
      <c r="F341" s="37">
        <v>40</v>
      </c>
      <c r="G341" s="35">
        <v>23</v>
      </c>
      <c r="H341" s="38">
        <v>10.4</v>
      </c>
      <c r="I341" s="38" t="s">
        <v>1697</v>
      </c>
      <c r="J341" s="34">
        <f>IFERROR(_xlfn.XLOOKUP(I341,Index!$A:$A,Index!$B:$B),"")</f>
        <v>1623</v>
      </c>
      <c r="L341" s="238"/>
    </row>
    <row r="342" spans="1:12" x14ac:dyDescent="0.2">
      <c r="A342" s="26"/>
      <c r="B342" s="26"/>
      <c r="C342" s="30"/>
      <c r="D342" s="35" t="s">
        <v>55</v>
      </c>
      <c r="E342" s="82" t="s">
        <v>1632</v>
      </c>
      <c r="F342" s="37">
        <v>40</v>
      </c>
      <c r="G342" s="35">
        <v>23</v>
      </c>
      <c r="H342" s="38">
        <v>10.4</v>
      </c>
      <c r="I342" s="38" t="s">
        <v>5662</v>
      </c>
      <c r="J342" s="34">
        <f>IFERROR(_xlfn.XLOOKUP(I342,Index!$A:$A,Index!$B:$B),"")</f>
        <v>1623</v>
      </c>
      <c r="L342" s="238"/>
    </row>
    <row r="343" spans="1:12" x14ac:dyDescent="0.2">
      <c r="A343" s="26"/>
      <c r="B343" s="26"/>
      <c r="C343" s="30"/>
      <c r="D343" s="35" t="s">
        <v>176</v>
      </c>
      <c r="E343" s="82" t="s">
        <v>1159</v>
      </c>
      <c r="F343" s="37">
        <v>50</v>
      </c>
      <c r="G343" s="35">
        <v>34</v>
      </c>
      <c r="H343" s="38">
        <v>15.4</v>
      </c>
      <c r="I343" s="38" t="s">
        <v>1698</v>
      </c>
      <c r="J343" s="34">
        <f>IFERROR(_xlfn.XLOOKUP(I343,Index!$A:$A,Index!$B:$B),"")</f>
        <v>1634</v>
      </c>
      <c r="L343" s="238"/>
    </row>
    <row r="344" spans="1:12" x14ac:dyDescent="0.2">
      <c r="A344" s="26"/>
      <c r="B344" s="26"/>
      <c r="C344" s="30"/>
      <c r="D344" s="35" t="s">
        <v>53</v>
      </c>
      <c r="E344" s="82" t="s">
        <v>1159</v>
      </c>
      <c r="F344" s="37">
        <v>50</v>
      </c>
      <c r="G344" s="35">
        <v>34</v>
      </c>
      <c r="H344" s="38">
        <v>15.4</v>
      </c>
      <c r="I344" s="38" t="s">
        <v>1699</v>
      </c>
      <c r="J344" s="34">
        <f>IFERROR(_xlfn.XLOOKUP(I344,Index!$A:$A,Index!$B:$B),"")</f>
        <v>1715</v>
      </c>
      <c r="L344" s="238"/>
    </row>
    <row r="345" spans="1:12" x14ac:dyDescent="0.2">
      <c r="A345" s="26"/>
      <c r="B345" s="26"/>
      <c r="C345" s="30"/>
      <c r="D345" s="35" t="s">
        <v>55</v>
      </c>
      <c r="E345" s="82" t="s">
        <v>1159</v>
      </c>
      <c r="F345" s="37">
        <v>50</v>
      </c>
      <c r="G345" s="35">
        <v>34</v>
      </c>
      <c r="H345" s="38">
        <v>15.4</v>
      </c>
      <c r="I345" s="38" t="s">
        <v>1700</v>
      </c>
      <c r="J345" s="34">
        <f>IFERROR(_xlfn.XLOOKUP(I345,Index!$A:$A,Index!$B:$B),"")</f>
        <v>1715</v>
      </c>
      <c r="L345" s="238"/>
    </row>
    <row r="346" spans="1:12" x14ac:dyDescent="0.2">
      <c r="A346" s="26"/>
      <c r="B346" s="26"/>
      <c r="C346" s="30"/>
      <c r="D346" s="35" t="s">
        <v>176</v>
      </c>
      <c r="E346" s="82" t="s">
        <v>1460</v>
      </c>
      <c r="F346" s="37">
        <v>65</v>
      </c>
      <c r="G346" s="35">
        <v>34</v>
      </c>
      <c r="H346" s="38">
        <v>15</v>
      </c>
      <c r="I346" s="38" t="s">
        <v>1701</v>
      </c>
      <c r="J346" s="34">
        <f>IFERROR(_xlfn.XLOOKUP(I346,Index!$A:$A,Index!$B:$B),"")</f>
        <v>2057</v>
      </c>
      <c r="L346" s="238"/>
    </row>
    <row r="347" spans="1:12" x14ac:dyDescent="0.2">
      <c r="A347" s="26"/>
      <c r="B347" s="26"/>
      <c r="C347" s="30"/>
      <c r="D347" s="35" t="s">
        <v>53</v>
      </c>
      <c r="E347" s="82" t="s">
        <v>1460</v>
      </c>
      <c r="F347" s="37">
        <v>65</v>
      </c>
      <c r="G347" s="35">
        <v>34</v>
      </c>
      <c r="H347" s="38">
        <v>15</v>
      </c>
      <c r="I347" s="38" t="s">
        <v>5542</v>
      </c>
      <c r="J347" s="46">
        <f>J346+81</f>
        <v>2138</v>
      </c>
      <c r="L347" s="238"/>
    </row>
    <row r="348" spans="1:12" x14ac:dyDescent="0.2">
      <c r="A348" s="26"/>
      <c r="B348" s="26"/>
      <c r="C348" s="30"/>
      <c r="D348" s="35" t="s">
        <v>55</v>
      </c>
      <c r="E348" s="82" t="s">
        <v>1460</v>
      </c>
      <c r="F348" s="37">
        <v>65</v>
      </c>
      <c r="G348" s="35">
        <v>34</v>
      </c>
      <c r="H348" s="38">
        <v>15</v>
      </c>
      <c r="I348" s="38" t="s">
        <v>5542</v>
      </c>
      <c r="J348" s="46">
        <f>J347</f>
        <v>2138</v>
      </c>
      <c r="L348" s="238"/>
    </row>
    <row r="349" spans="1:12" x14ac:dyDescent="0.2">
      <c r="A349" s="26"/>
      <c r="B349" s="26"/>
      <c r="C349" s="30"/>
      <c r="D349" s="35" t="s">
        <v>176</v>
      </c>
      <c r="E349" s="82" t="s">
        <v>1166</v>
      </c>
      <c r="F349" s="37">
        <v>80</v>
      </c>
      <c r="G349" s="35">
        <v>46</v>
      </c>
      <c r="H349" s="38">
        <v>21</v>
      </c>
      <c r="I349" s="38" t="s">
        <v>1702</v>
      </c>
      <c r="J349" s="34">
        <f>IFERROR(_xlfn.XLOOKUP(I349,Index!$A:$A,Index!$B:$B),"")</f>
        <v>2568</v>
      </c>
      <c r="L349" s="238"/>
    </row>
    <row r="350" spans="1:12" x14ac:dyDescent="0.2">
      <c r="A350" s="26"/>
      <c r="B350" s="26"/>
      <c r="C350" s="30"/>
      <c r="D350" s="35" t="s">
        <v>53</v>
      </c>
      <c r="E350" s="82" t="s">
        <v>1166</v>
      </c>
      <c r="F350" s="37">
        <v>80</v>
      </c>
      <c r="G350" s="35">
        <v>46</v>
      </c>
      <c r="H350" s="38">
        <v>21</v>
      </c>
      <c r="I350" s="38" t="s">
        <v>1703</v>
      </c>
      <c r="J350" s="34">
        <f>IFERROR(_xlfn.XLOOKUP(I350,Index!$A:$A,Index!$B:$B),"")</f>
        <v>2698</v>
      </c>
      <c r="L350" s="238"/>
    </row>
    <row r="351" spans="1:12" x14ac:dyDescent="0.2">
      <c r="A351" s="26"/>
      <c r="B351" s="26"/>
      <c r="C351" s="30"/>
      <c r="D351" s="35" t="s">
        <v>55</v>
      </c>
      <c r="E351" s="82" t="s">
        <v>1166</v>
      </c>
      <c r="F351" s="37">
        <v>80</v>
      </c>
      <c r="G351" s="35">
        <v>46</v>
      </c>
      <c r="H351" s="38">
        <v>21</v>
      </c>
      <c r="I351" s="38" t="s">
        <v>1704</v>
      </c>
      <c r="J351" s="34">
        <f>IFERROR(_xlfn.XLOOKUP(I351,Index!$A:$A,Index!$B:$B),"")</f>
        <v>2698</v>
      </c>
      <c r="L351" s="238"/>
    </row>
    <row r="352" spans="1:12" x14ac:dyDescent="0.2">
      <c r="A352" s="26"/>
      <c r="B352" s="26"/>
      <c r="C352" s="30"/>
      <c r="D352" s="35" t="s">
        <v>176</v>
      </c>
      <c r="E352" s="82" t="s">
        <v>1170</v>
      </c>
      <c r="F352" s="37">
        <v>100</v>
      </c>
      <c r="G352" s="35">
        <v>70</v>
      </c>
      <c r="H352" s="38">
        <v>32</v>
      </c>
      <c r="I352" s="38" t="s">
        <v>1705</v>
      </c>
      <c r="J352" s="34">
        <f>IFERROR(_xlfn.XLOOKUP(I352,Index!$A:$A,Index!$B:$B),"")</f>
        <v>3386</v>
      </c>
      <c r="L352" s="238"/>
    </row>
    <row r="353" spans="1:12" x14ac:dyDescent="0.2">
      <c r="A353" s="26"/>
      <c r="B353" s="26"/>
      <c r="C353" s="30"/>
      <c r="D353" s="35" t="s">
        <v>53</v>
      </c>
      <c r="E353" s="82" t="s">
        <v>1170</v>
      </c>
      <c r="F353" s="37">
        <v>100</v>
      </c>
      <c r="G353" s="35">
        <v>70</v>
      </c>
      <c r="H353" s="38">
        <v>32</v>
      </c>
      <c r="I353" s="38" t="s">
        <v>1706</v>
      </c>
      <c r="J353" s="34">
        <f>IFERROR(_xlfn.XLOOKUP(I353,Index!$A:$A,Index!$B:$B),"")</f>
        <v>3554</v>
      </c>
      <c r="L353" s="238"/>
    </row>
    <row r="354" spans="1:12" x14ac:dyDescent="0.2">
      <c r="A354" s="26"/>
      <c r="B354" s="26"/>
      <c r="C354" s="30"/>
      <c r="D354" s="35" t="s">
        <v>55</v>
      </c>
      <c r="E354" s="82" t="s">
        <v>1170</v>
      </c>
      <c r="F354" s="37">
        <v>100</v>
      </c>
      <c r="G354" s="35">
        <v>70</v>
      </c>
      <c r="H354" s="38">
        <v>32</v>
      </c>
      <c r="I354" s="38" t="s">
        <v>1707</v>
      </c>
      <c r="J354" s="34">
        <f>IFERROR(_xlfn.XLOOKUP(I354,Index!$A:$A,Index!$B:$B),"")</f>
        <v>3554</v>
      </c>
      <c r="L354" s="238"/>
    </row>
    <row r="355" spans="1:12" x14ac:dyDescent="0.2">
      <c r="A355" s="26"/>
      <c r="B355" s="26"/>
      <c r="C355" s="30"/>
      <c r="D355" s="35" t="s">
        <v>241</v>
      </c>
      <c r="E355" s="82" t="s">
        <v>1178</v>
      </c>
      <c r="F355" s="37">
        <v>150</v>
      </c>
      <c r="G355" s="35">
        <v>168</v>
      </c>
      <c r="H355" s="38">
        <v>76</v>
      </c>
      <c r="I355" s="38" t="s">
        <v>1708</v>
      </c>
      <c r="J355" s="34">
        <f>IFERROR(_xlfn.XLOOKUP(I355,Index!$A:$A,Index!$B:$B),"")</f>
        <v>5894</v>
      </c>
      <c r="L355" s="238"/>
    </row>
    <row r="356" spans="1:12" x14ac:dyDescent="0.2">
      <c r="A356" s="26"/>
      <c r="B356" s="26"/>
      <c r="C356" s="30"/>
      <c r="D356" s="35" t="s">
        <v>53</v>
      </c>
      <c r="E356" s="82" t="s">
        <v>1178</v>
      </c>
      <c r="F356" s="37">
        <v>150</v>
      </c>
      <c r="G356" s="35">
        <v>168</v>
      </c>
      <c r="H356" s="38">
        <v>76</v>
      </c>
      <c r="I356" s="38" t="s">
        <v>1709</v>
      </c>
      <c r="J356" s="34">
        <f>IFERROR(_xlfn.XLOOKUP(I356,Index!$A:$A,Index!$B:$B),"")</f>
        <v>6187</v>
      </c>
      <c r="L356" s="238"/>
    </row>
    <row r="357" spans="1:12" x14ac:dyDescent="0.2">
      <c r="A357" s="26"/>
      <c r="B357" s="26"/>
      <c r="C357" s="30"/>
      <c r="D357" s="35" t="s">
        <v>55</v>
      </c>
      <c r="E357" s="82" t="s">
        <v>1178</v>
      </c>
      <c r="F357" s="37">
        <v>150</v>
      </c>
      <c r="G357" s="35">
        <v>168</v>
      </c>
      <c r="H357" s="38">
        <v>76</v>
      </c>
      <c r="I357" s="38" t="s">
        <v>1710</v>
      </c>
      <c r="J357" s="34">
        <f>IFERROR(_xlfn.XLOOKUP(I357,Index!$A:$A,Index!$B:$B),"")</f>
        <v>6187</v>
      </c>
      <c r="L357" s="238"/>
    </row>
    <row r="358" spans="1:12" x14ac:dyDescent="0.2">
      <c r="A358" s="26"/>
      <c r="B358" s="26"/>
      <c r="C358" s="30"/>
      <c r="D358" s="35" t="s">
        <v>241</v>
      </c>
      <c r="E358" s="82" t="s">
        <v>1182</v>
      </c>
      <c r="F358" s="37">
        <v>200</v>
      </c>
      <c r="G358" s="35">
        <v>234</v>
      </c>
      <c r="H358" s="38">
        <v>106</v>
      </c>
      <c r="I358" s="38" t="s">
        <v>1711</v>
      </c>
      <c r="J358" s="34">
        <f>IFERROR(_xlfn.XLOOKUP(I358,Index!$A:$A,Index!$B:$B),"")</f>
        <v>8126</v>
      </c>
      <c r="L358" s="238"/>
    </row>
    <row r="359" spans="1:12" x14ac:dyDescent="0.2">
      <c r="A359" s="26"/>
      <c r="B359" s="26"/>
      <c r="C359" s="30"/>
      <c r="D359" s="35" t="s">
        <v>53</v>
      </c>
      <c r="E359" s="82" t="s">
        <v>1182</v>
      </c>
      <c r="F359" s="37">
        <v>200</v>
      </c>
      <c r="G359" s="35">
        <v>234</v>
      </c>
      <c r="H359" s="38">
        <v>106</v>
      </c>
      <c r="I359" s="38" t="s">
        <v>1712</v>
      </c>
      <c r="J359" s="34">
        <f>IFERROR(_xlfn.XLOOKUP(I359,Index!$A:$A,Index!$B:$B),"")</f>
        <v>8533</v>
      </c>
      <c r="L359" s="238"/>
    </row>
    <row r="360" spans="1:12" x14ac:dyDescent="0.2">
      <c r="A360" s="26"/>
      <c r="B360" s="26"/>
      <c r="C360" s="30"/>
      <c r="D360" s="35" t="s">
        <v>55</v>
      </c>
      <c r="E360" s="82" t="s">
        <v>1182</v>
      </c>
      <c r="F360" s="37">
        <v>200</v>
      </c>
      <c r="G360" s="35">
        <v>234</v>
      </c>
      <c r="H360" s="38">
        <v>106</v>
      </c>
      <c r="I360" s="38" t="s">
        <v>5663</v>
      </c>
      <c r="J360" s="34">
        <f>IFERROR(_xlfn.XLOOKUP(I360,Index!$A:$A,Index!$B:$B),"")</f>
        <v>8533</v>
      </c>
      <c r="L360" s="238"/>
    </row>
    <row r="361" spans="1:12" x14ac:dyDescent="0.2">
      <c r="A361" s="26"/>
      <c r="B361" s="26"/>
      <c r="C361" s="30"/>
      <c r="D361" s="35" t="s">
        <v>241</v>
      </c>
      <c r="E361" s="82" t="s">
        <v>1186</v>
      </c>
      <c r="F361" s="37">
        <v>250</v>
      </c>
      <c r="G361" s="35">
        <v>402</v>
      </c>
      <c r="H361" s="38">
        <v>182</v>
      </c>
      <c r="I361" s="38" t="s">
        <v>1713</v>
      </c>
      <c r="J361" s="34">
        <f>IFERROR(_xlfn.XLOOKUP(I361,Index!$A:$A,Index!$B:$B),"")</f>
        <v>12156</v>
      </c>
      <c r="L361" s="238"/>
    </row>
    <row r="362" spans="1:12" x14ac:dyDescent="0.2">
      <c r="A362" s="26"/>
      <c r="B362" s="26"/>
      <c r="C362" s="30"/>
      <c r="D362" s="35" t="s">
        <v>53</v>
      </c>
      <c r="E362" s="82" t="s">
        <v>1186</v>
      </c>
      <c r="F362" s="37">
        <v>250</v>
      </c>
      <c r="G362" s="35">
        <v>402</v>
      </c>
      <c r="H362" s="38">
        <v>182</v>
      </c>
      <c r="I362" s="38" t="s">
        <v>1714</v>
      </c>
      <c r="J362" s="34">
        <f>IFERROR(_xlfn.XLOOKUP(I362,Index!$A:$A,Index!$B:$B),"")</f>
        <v>12763</v>
      </c>
      <c r="L362" s="238"/>
    </row>
    <row r="363" spans="1:12" x14ac:dyDescent="0.2">
      <c r="A363" s="26"/>
      <c r="B363" s="26"/>
      <c r="C363" s="30"/>
      <c r="D363" s="35" t="s">
        <v>55</v>
      </c>
      <c r="E363" s="82" t="s">
        <v>1186</v>
      </c>
      <c r="F363" s="37">
        <v>250</v>
      </c>
      <c r="G363" s="35">
        <v>402</v>
      </c>
      <c r="H363" s="38">
        <v>182</v>
      </c>
      <c r="I363" s="38" t="s">
        <v>5542</v>
      </c>
      <c r="J363" s="46">
        <f>J362</f>
        <v>12763</v>
      </c>
      <c r="L363" s="238"/>
    </row>
    <row r="364" spans="1:12" x14ac:dyDescent="0.2">
      <c r="A364" s="26"/>
      <c r="B364" s="26"/>
      <c r="C364" s="30"/>
      <c r="D364" s="35" t="s">
        <v>241</v>
      </c>
      <c r="E364" s="82" t="s">
        <v>1190</v>
      </c>
      <c r="F364" s="37">
        <v>300</v>
      </c>
      <c r="G364" s="35">
        <v>692</v>
      </c>
      <c r="H364" s="38">
        <v>314</v>
      </c>
      <c r="I364" s="38" t="s">
        <v>1715</v>
      </c>
      <c r="J364" s="34">
        <f>IFERROR(_xlfn.XLOOKUP(I364,Index!$A:$A,Index!$B:$B),"")</f>
        <v>22638</v>
      </c>
      <c r="L364" s="238"/>
    </row>
    <row r="365" spans="1:12" x14ac:dyDescent="0.2">
      <c r="A365" s="26"/>
      <c r="B365" s="26"/>
      <c r="C365" s="30"/>
      <c r="D365" s="35" t="s">
        <v>53</v>
      </c>
      <c r="E365" s="82" t="s">
        <v>1190</v>
      </c>
      <c r="F365" s="37">
        <v>300</v>
      </c>
      <c r="G365" s="35">
        <v>692</v>
      </c>
      <c r="H365" s="38">
        <v>314</v>
      </c>
      <c r="I365" s="38" t="s">
        <v>1716</v>
      </c>
      <c r="J365" s="34">
        <f>IFERROR(_xlfn.XLOOKUP(I365,Index!$A:$A,Index!$B:$B),"")</f>
        <v>23770</v>
      </c>
      <c r="L365" s="238"/>
    </row>
    <row r="366" spans="1:12" x14ac:dyDescent="0.2">
      <c r="A366" s="27"/>
      <c r="B366" s="27"/>
      <c r="C366" s="31"/>
      <c r="D366" s="35" t="s">
        <v>55</v>
      </c>
      <c r="E366" s="82" t="s">
        <v>1190</v>
      </c>
      <c r="F366" s="37">
        <v>300</v>
      </c>
      <c r="G366" s="35">
        <v>692</v>
      </c>
      <c r="H366" s="38">
        <v>314</v>
      </c>
      <c r="I366" s="38" t="s">
        <v>5664</v>
      </c>
      <c r="J366" s="34">
        <f>IFERROR(_xlfn.XLOOKUP(I366,Index!$A:$A,Index!$B:$B),"")</f>
        <v>23770</v>
      </c>
      <c r="L366" s="238"/>
    </row>
    <row r="367" spans="1:12" x14ac:dyDescent="0.2">
      <c r="L367" s="238"/>
    </row>
    <row r="368" spans="1:12" x14ac:dyDescent="0.2">
      <c r="L368" s="238"/>
    </row>
    <row r="369" spans="1:12" ht="15.75" x14ac:dyDescent="0.2">
      <c r="A369" s="62" t="s">
        <v>1717</v>
      </c>
      <c r="B369" s="62" t="s">
        <v>647</v>
      </c>
      <c r="C369" s="72"/>
      <c r="D369" s="73"/>
      <c r="E369" s="74"/>
      <c r="F369" s="114"/>
      <c r="G369" s="115"/>
      <c r="H369" s="77"/>
      <c r="I369" s="77"/>
      <c r="J369" s="78"/>
      <c r="L369" s="238"/>
    </row>
    <row r="370" spans="1:12" ht="15.75" x14ac:dyDescent="0.2">
      <c r="A370" s="48" t="s">
        <v>1718</v>
      </c>
      <c r="B370" s="11"/>
      <c r="C370" s="4"/>
      <c r="D370" s="4"/>
      <c r="E370" s="5"/>
      <c r="F370" s="110"/>
      <c r="G370" s="4"/>
      <c r="H370" s="19"/>
      <c r="I370" s="19"/>
      <c r="J370" s="20"/>
      <c r="L370" s="238"/>
    </row>
    <row r="371" spans="1:12" ht="24" x14ac:dyDescent="0.2">
      <c r="A371" s="25" t="s">
        <v>35</v>
      </c>
      <c r="B371" s="28" t="s">
        <v>36</v>
      </c>
      <c r="C371" s="333" t="s">
        <v>37</v>
      </c>
      <c r="D371" s="333"/>
      <c r="E371" s="335" t="s">
        <v>38</v>
      </c>
      <c r="F371" s="335"/>
      <c r="G371" s="335" t="s">
        <v>39</v>
      </c>
      <c r="H371" s="335"/>
      <c r="I371" s="42" t="s">
        <v>40</v>
      </c>
      <c r="J371" s="43" t="s">
        <v>41</v>
      </c>
      <c r="L371" s="238"/>
    </row>
    <row r="372" spans="1:12" x14ac:dyDescent="0.2">
      <c r="A372" s="32"/>
      <c r="B372" s="32"/>
      <c r="C372" s="33" t="s">
        <v>42</v>
      </c>
      <c r="D372" s="33" t="s">
        <v>43</v>
      </c>
      <c r="E372" s="33" t="s">
        <v>44</v>
      </c>
      <c r="F372" s="33" t="s">
        <v>45</v>
      </c>
      <c r="G372" s="33" t="s">
        <v>46</v>
      </c>
      <c r="H372" s="33" t="s">
        <v>47</v>
      </c>
      <c r="I372" s="33"/>
      <c r="J372" s="44"/>
      <c r="L372" s="238"/>
    </row>
    <row r="373" spans="1:12" x14ac:dyDescent="0.2">
      <c r="A373" s="26" t="s">
        <v>1719</v>
      </c>
      <c r="B373" s="26" t="s">
        <v>1642</v>
      </c>
      <c r="C373" s="30" t="s">
        <v>50</v>
      </c>
      <c r="D373" s="35" t="s">
        <v>176</v>
      </c>
      <c r="E373" s="70">
        <v>1.5</v>
      </c>
      <c r="F373" s="38">
        <v>40</v>
      </c>
      <c r="G373" s="38">
        <v>23</v>
      </c>
      <c r="H373" s="38">
        <v>10.4</v>
      </c>
      <c r="I373" s="38" t="s">
        <v>1720</v>
      </c>
      <c r="J373" s="34">
        <f>IFERROR(_xlfn.XLOOKUP(I373,Index!$A:$A,Index!$B:$B),"")</f>
        <v>1447</v>
      </c>
      <c r="L373" s="238"/>
    </row>
    <row r="374" spans="1:12" x14ac:dyDescent="0.2">
      <c r="A374" s="26"/>
      <c r="B374" s="26"/>
      <c r="C374" s="30"/>
      <c r="D374" s="35" t="s">
        <v>176</v>
      </c>
      <c r="E374" s="64">
        <v>2</v>
      </c>
      <c r="F374" s="116">
        <v>50</v>
      </c>
      <c r="G374" s="35">
        <v>34</v>
      </c>
      <c r="H374" s="40">
        <v>15.4</v>
      </c>
      <c r="I374" s="38" t="s">
        <v>1721</v>
      </c>
      <c r="J374" s="34">
        <f>IFERROR(_xlfn.XLOOKUP(I374,Index!$A:$A,Index!$B:$B),"")</f>
        <v>1531</v>
      </c>
      <c r="L374" s="238"/>
    </row>
    <row r="375" spans="1:12" x14ac:dyDescent="0.2">
      <c r="A375" s="26"/>
      <c r="B375" s="26"/>
      <c r="C375" s="30"/>
      <c r="D375" s="35" t="s">
        <v>176</v>
      </c>
      <c r="E375" s="64">
        <v>2.5</v>
      </c>
      <c r="F375" s="116">
        <v>65</v>
      </c>
      <c r="G375" s="35">
        <v>34</v>
      </c>
      <c r="H375" s="40">
        <v>15</v>
      </c>
      <c r="I375" s="38" t="s">
        <v>1722</v>
      </c>
      <c r="J375" s="34">
        <f>IFERROR(_xlfn.XLOOKUP(I375,Index!$A:$A,Index!$B:$B),"")</f>
        <v>1911</v>
      </c>
      <c r="L375" s="238"/>
    </row>
    <row r="376" spans="1:12" x14ac:dyDescent="0.2">
      <c r="A376" s="26"/>
      <c r="B376" s="26"/>
      <c r="C376" s="30"/>
      <c r="D376" s="35" t="s">
        <v>176</v>
      </c>
      <c r="E376" s="64">
        <v>3</v>
      </c>
      <c r="F376" s="116">
        <v>80</v>
      </c>
      <c r="G376" s="35">
        <v>46</v>
      </c>
      <c r="H376" s="40">
        <v>21</v>
      </c>
      <c r="I376" s="38" t="s">
        <v>1723</v>
      </c>
      <c r="J376" s="34">
        <f>IFERROR(_xlfn.XLOOKUP(I376,Index!$A:$A,Index!$B:$B),"")</f>
        <v>2405</v>
      </c>
      <c r="L376" s="238"/>
    </row>
    <row r="377" spans="1:12" x14ac:dyDescent="0.2">
      <c r="A377" s="26"/>
      <c r="B377" s="26"/>
      <c r="C377" s="30"/>
      <c r="D377" s="35" t="s">
        <v>176</v>
      </c>
      <c r="E377" s="64">
        <v>4</v>
      </c>
      <c r="F377" s="116">
        <v>100</v>
      </c>
      <c r="G377" s="35">
        <v>70</v>
      </c>
      <c r="H377" s="40">
        <v>32</v>
      </c>
      <c r="I377" s="38" t="s">
        <v>1724</v>
      </c>
      <c r="J377" s="34">
        <f>IFERROR(_xlfn.XLOOKUP(I377,Index!$A:$A,Index!$B:$B),"")</f>
        <v>3168</v>
      </c>
      <c r="L377" s="238"/>
    </row>
    <row r="378" spans="1:12" x14ac:dyDescent="0.2">
      <c r="A378" s="26"/>
      <c r="B378" s="26"/>
      <c r="C378" s="30"/>
      <c r="D378" s="35" t="s">
        <v>241</v>
      </c>
      <c r="E378" s="64">
        <v>5</v>
      </c>
      <c r="F378" s="116">
        <v>125</v>
      </c>
      <c r="G378" s="35">
        <v>108</v>
      </c>
      <c r="H378" s="40">
        <v>49</v>
      </c>
      <c r="I378" s="38" t="s">
        <v>1725</v>
      </c>
      <c r="J378" s="34">
        <f>IFERROR(_xlfn.XLOOKUP(I378,Index!$A:$A,Index!$B:$B),"")</f>
        <v>4374</v>
      </c>
      <c r="L378" s="238"/>
    </row>
    <row r="379" spans="1:12" x14ac:dyDescent="0.2">
      <c r="A379" s="26"/>
      <c r="B379" s="26"/>
      <c r="C379" s="30"/>
      <c r="D379" s="35" t="s">
        <v>241</v>
      </c>
      <c r="E379" s="64">
        <v>6</v>
      </c>
      <c r="F379" s="116">
        <v>150</v>
      </c>
      <c r="G379" s="35">
        <v>168</v>
      </c>
      <c r="H379" s="40">
        <v>76</v>
      </c>
      <c r="I379" s="38" t="s">
        <v>1726</v>
      </c>
      <c r="J379" s="34">
        <f>IFERROR(_xlfn.XLOOKUP(I379,Index!$A:$A,Index!$B:$B),"")</f>
        <v>5516</v>
      </c>
      <c r="L379" s="238"/>
    </row>
    <row r="380" spans="1:12" x14ac:dyDescent="0.2">
      <c r="A380" s="26"/>
      <c r="B380" s="26"/>
      <c r="C380" s="30"/>
      <c r="D380" s="35" t="s">
        <v>241</v>
      </c>
      <c r="E380" s="64">
        <v>8</v>
      </c>
      <c r="F380" s="116">
        <v>200</v>
      </c>
      <c r="G380" s="35">
        <v>234</v>
      </c>
      <c r="H380" s="40">
        <v>106</v>
      </c>
      <c r="I380" s="38" t="s">
        <v>1727</v>
      </c>
      <c r="J380" s="34">
        <f>IFERROR(_xlfn.XLOOKUP(I380,Index!$A:$A,Index!$B:$B),"")</f>
        <v>7608</v>
      </c>
      <c r="L380" s="238"/>
    </row>
    <row r="381" spans="1:12" x14ac:dyDescent="0.2">
      <c r="A381" s="26"/>
      <c r="B381" s="26"/>
      <c r="C381" s="30"/>
      <c r="D381" s="35" t="s">
        <v>241</v>
      </c>
      <c r="E381" s="64">
        <v>10</v>
      </c>
      <c r="F381" s="116">
        <v>250</v>
      </c>
      <c r="G381" s="35">
        <v>402</v>
      </c>
      <c r="H381" s="40">
        <v>182</v>
      </c>
      <c r="I381" s="38" t="s">
        <v>1728</v>
      </c>
      <c r="J381" s="34">
        <f>IFERROR(_xlfn.XLOOKUP(I381,Index!$A:$A,Index!$B:$B),"")</f>
        <v>11372</v>
      </c>
      <c r="L381" s="238"/>
    </row>
    <row r="382" spans="1:12" x14ac:dyDescent="0.2">
      <c r="A382" s="27"/>
      <c r="B382" s="27"/>
      <c r="C382" s="31"/>
      <c r="D382" s="35" t="s">
        <v>241</v>
      </c>
      <c r="E382" s="64">
        <v>12</v>
      </c>
      <c r="F382" s="116">
        <v>300</v>
      </c>
      <c r="G382" s="35">
        <v>692</v>
      </c>
      <c r="H382" s="40">
        <v>314</v>
      </c>
      <c r="I382" s="38" t="s">
        <v>1729</v>
      </c>
      <c r="J382" s="34">
        <f>IFERROR(_xlfn.XLOOKUP(I382,Index!$A:$A,Index!$B:$B),"")</f>
        <v>21191</v>
      </c>
      <c r="L382" s="238"/>
    </row>
    <row r="383" spans="1:12" x14ac:dyDescent="0.2">
      <c r="L383" s="238"/>
    </row>
    <row r="384" spans="1:12" ht="15" x14ac:dyDescent="0.25">
      <c r="A384" s="247"/>
      <c r="L384" s="238"/>
    </row>
    <row r="385" spans="1:12" ht="15.75" x14ac:dyDescent="0.25">
      <c r="A385" s="217" t="s">
        <v>1730</v>
      </c>
      <c r="B385" s="217" t="s">
        <v>647</v>
      </c>
      <c r="C385" s="338"/>
      <c r="D385" s="338"/>
      <c r="E385" s="50"/>
      <c r="F385" s="101"/>
      <c r="L385" s="238"/>
    </row>
    <row r="386" spans="1:12" ht="15.75" x14ac:dyDescent="0.2">
      <c r="A386" s="48" t="s">
        <v>102</v>
      </c>
      <c r="B386" s="57"/>
      <c r="C386" s="58"/>
      <c r="D386" s="58"/>
      <c r="E386" s="59"/>
      <c r="F386" s="101"/>
      <c r="L386" s="238"/>
    </row>
    <row r="387" spans="1:12" x14ac:dyDescent="0.2">
      <c r="A387" s="25" t="s">
        <v>35</v>
      </c>
      <c r="B387" s="28" t="s">
        <v>103</v>
      </c>
      <c r="C387" s="335" t="s">
        <v>38</v>
      </c>
      <c r="D387" s="335"/>
      <c r="E387" s="42" t="s">
        <v>40</v>
      </c>
      <c r="F387" s="43" t="s">
        <v>41</v>
      </c>
      <c r="L387" s="238"/>
    </row>
    <row r="388" spans="1:12" x14ac:dyDescent="0.2">
      <c r="A388" s="32"/>
      <c r="B388" s="32"/>
      <c r="C388" s="33" t="s">
        <v>44</v>
      </c>
      <c r="D388" s="33" t="s">
        <v>45</v>
      </c>
      <c r="E388" s="33"/>
      <c r="F388" s="44"/>
      <c r="L388" s="238"/>
    </row>
    <row r="389" spans="1:12" x14ac:dyDescent="0.2">
      <c r="A389" s="26" t="s">
        <v>1731</v>
      </c>
      <c r="B389" s="60" t="s">
        <v>104</v>
      </c>
      <c r="C389" s="70">
        <v>1.5</v>
      </c>
      <c r="D389" s="38">
        <v>40</v>
      </c>
      <c r="E389" s="35" t="s">
        <v>1732</v>
      </c>
      <c r="F389" s="34">
        <f>IFERROR(_xlfn.XLOOKUP(E389,Index!$A:$A,Index!$B:$B),"")</f>
        <v>9</v>
      </c>
      <c r="L389" s="238"/>
    </row>
    <row r="390" spans="1:12" x14ac:dyDescent="0.2">
      <c r="A390" s="26"/>
      <c r="B390" s="26"/>
      <c r="C390" s="64">
        <v>2</v>
      </c>
      <c r="D390" s="116">
        <v>50</v>
      </c>
      <c r="E390" s="35" t="s">
        <v>1596</v>
      </c>
      <c r="F390" s="34">
        <f>IFERROR(_xlfn.XLOOKUP(E390,Index!$A:$A,Index!$B:$B),"")</f>
        <v>9</v>
      </c>
      <c r="L390" s="238"/>
    </row>
    <row r="391" spans="1:12" x14ac:dyDescent="0.2">
      <c r="A391" s="26"/>
      <c r="B391" s="26"/>
      <c r="C391" s="64">
        <v>2.5</v>
      </c>
      <c r="D391" s="116">
        <v>65</v>
      </c>
      <c r="E391" s="35" t="s">
        <v>420</v>
      </c>
      <c r="F391" s="34">
        <f>IFERROR(_xlfn.XLOOKUP(E391,Index!$A:$A,Index!$B:$B),"")</f>
        <v>12.25</v>
      </c>
      <c r="L391" s="238"/>
    </row>
    <row r="392" spans="1:12" x14ac:dyDescent="0.2">
      <c r="A392" s="26"/>
      <c r="B392" s="26"/>
      <c r="C392" s="64">
        <v>3</v>
      </c>
      <c r="D392" s="116">
        <v>80</v>
      </c>
      <c r="E392" s="35" t="s">
        <v>1597</v>
      </c>
      <c r="F392" s="34">
        <f>IFERROR(_xlfn.XLOOKUP(E392,Index!$A:$A,Index!$B:$B),"")</f>
        <v>12.5</v>
      </c>
      <c r="L392" s="238"/>
    </row>
    <row r="393" spans="1:12" x14ac:dyDescent="0.2">
      <c r="A393" s="26"/>
      <c r="B393" s="26"/>
      <c r="C393" s="64">
        <v>4</v>
      </c>
      <c r="D393" s="116">
        <v>100</v>
      </c>
      <c r="E393" s="35" t="s">
        <v>1598</v>
      </c>
      <c r="F393" s="34">
        <f>IFERROR(_xlfn.XLOOKUP(E393,Index!$A:$A,Index!$B:$B),"")</f>
        <v>15</v>
      </c>
      <c r="L393" s="238"/>
    </row>
    <row r="394" spans="1:12" x14ac:dyDescent="0.2">
      <c r="A394" s="26"/>
      <c r="B394" s="26"/>
      <c r="C394" s="64">
        <v>5</v>
      </c>
      <c r="D394" s="116">
        <v>125</v>
      </c>
      <c r="E394" s="35" t="s">
        <v>1599</v>
      </c>
      <c r="F394" s="34">
        <f>IFERROR(_xlfn.XLOOKUP(E394,Index!$A:$A,Index!$B:$B),"")</f>
        <v>18.75</v>
      </c>
      <c r="L394" s="238"/>
    </row>
    <row r="395" spans="1:12" x14ac:dyDescent="0.2">
      <c r="A395" s="26"/>
      <c r="B395" s="26"/>
      <c r="C395" s="64">
        <v>6</v>
      </c>
      <c r="D395" s="116">
        <v>150</v>
      </c>
      <c r="E395" s="35" t="s">
        <v>1600</v>
      </c>
      <c r="F395" s="34">
        <f>IFERROR(_xlfn.XLOOKUP(E395,Index!$A:$A,Index!$B:$B),"")</f>
        <v>18.75</v>
      </c>
      <c r="L395" s="238"/>
    </row>
    <row r="396" spans="1:12" x14ac:dyDescent="0.2">
      <c r="A396" s="26"/>
      <c r="B396" s="26"/>
      <c r="C396" s="64">
        <v>8</v>
      </c>
      <c r="D396" s="116">
        <v>200</v>
      </c>
      <c r="E396" s="35" t="s">
        <v>1601</v>
      </c>
      <c r="F396" s="34">
        <f>IFERROR(_xlfn.XLOOKUP(E396,Index!$A:$A,Index!$B:$B),"")</f>
        <v>18.75</v>
      </c>
      <c r="L396" s="238"/>
    </row>
    <row r="397" spans="1:12" x14ac:dyDescent="0.2">
      <c r="A397" s="26"/>
      <c r="B397" s="26"/>
      <c r="C397" s="64">
        <v>10</v>
      </c>
      <c r="D397" s="116">
        <v>250</v>
      </c>
      <c r="E397" s="35" t="s">
        <v>1602</v>
      </c>
      <c r="F397" s="34">
        <f>IFERROR(_xlfn.XLOOKUP(E397,Index!$A:$A,Index!$B:$B),"")</f>
        <v>26.75</v>
      </c>
      <c r="L397" s="238"/>
    </row>
    <row r="398" spans="1:12" x14ac:dyDescent="0.2">
      <c r="A398" s="26"/>
      <c r="B398" s="215" t="s">
        <v>1673</v>
      </c>
      <c r="C398" s="64">
        <v>12</v>
      </c>
      <c r="D398" s="116">
        <v>300</v>
      </c>
      <c r="E398" s="35" t="s">
        <v>288</v>
      </c>
      <c r="F398" s="34">
        <f>IFERROR(_xlfn.XLOOKUP(E398,Index!$A:$A,Index!$B:$B),"")</f>
        <v>38.5</v>
      </c>
      <c r="L398" s="238"/>
    </row>
    <row r="399" spans="1:12" x14ac:dyDescent="0.2">
      <c r="A399" s="26"/>
      <c r="B399" s="215" t="s">
        <v>1682</v>
      </c>
      <c r="C399" s="64">
        <v>12</v>
      </c>
      <c r="D399" s="116">
        <v>300</v>
      </c>
      <c r="E399" s="35" t="s">
        <v>1603</v>
      </c>
      <c r="F399" s="34">
        <f>IFERROR(_xlfn.XLOOKUP(E399,Index!$A:$A,Index!$B:$B),"")</f>
        <v>26.75</v>
      </c>
      <c r="L399" s="238"/>
    </row>
    <row r="400" spans="1:12" x14ac:dyDescent="0.2">
      <c r="A400" s="26"/>
      <c r="B400" s="60" t="s">
        <v>210</v>
      </c>
      <c r="C400" s="70">
        <v>1.5</v>
      </c>
      <c r="D400" s="38">
        <v>40</v>
      </c>
      <c r="E400" s="35" t="s">
        <v>1733</v>
      </c>
      <c r="F400" s="34">
        <f>IFERROR(_xlfn.XLOOKUP(E400,Index!$A:$A,Index!$B:$B),"")</f>
        <v>457.5</v>
      </c>
      <c r="L400" s="238"/>
    </row>
    <row r="401" spans="1:12" x14ac:dyDescent="0.2">
      <c r="A401" s="26"/>
      <c r="B401" s="26"/>
      <c r="C401" s="64">
        <v>2</v>
      </c>
      <c r="D401" s="116">
        <v>50</v>
      </c>
      <c r="E401" s="35" t="s">
        <v>1734</v>
      </c>
      <c r="F401" s="34">
        <f>IFERROR(_xlfn.XLOOKUP(E401,Index!$A:$A,Index!$B:$B),"")</f>
        <v>457.5</v>
      </c>
      <c r="L401" s="238"/>
    </row>
    <row r="402" spans="1:12" x14ac:dyDescent="0.2">
      <c r="A402" s="26"/>
      <c r="B402" s="26"/>
      <c r="C402" s="64">
        <v>2.5</v>
      </c>
      <c r="D402" s="116">
        <v>65</v>
      </c>
      <c r="E402" s="35" t="s">
        <v>1735</v>
      </c>
      <c r="F402" s="34">
        <f>IFERROR(_xlfn.XLOOKUP(E402,Index!$A:$A,Index!$B:$B),"")</f>
        <v>582</v>
      </c>
      <c r="L402" s="238"/>
    </row>
    <row r="403" spans="1:12" x14ac:dyDescent="0.2">
      <c r="A403" s="26"/>
      <c r="B403" s="26"/>
      <c r="C403" s="64">
        <v>3</v>
      </c>
      <c r="D403" s="116">
        <v>80</v>
      </c>
      <c r="E403" s="35" t="s">
        <v>1736</v>
      </c>
      <c r="F403" s="34">
        <f>IFERROR(_xlfn.XLOOKUP(E403,Index!$A:$A,Index!$B:$B),"")</f>
        <v>582</v>
      </c>
      <c r="L403" s="238"/>
    </row>
    <row r="404" spans="1:12" x14ac:dyDescent="0.2">
      <c r="A404" s="26"/>
      <c r="B404" s="26"/>
      <c r="C404" s="64">
        <v>4</v>
      </c>
      <c r="D404" s="116">
        <v>100</v>
      </c>
      <c r="E404" s="35" t="s">
        <v>1737</v>
      </c>
      <c r="F404" s="34">
        <f>IFERROR(_xlfn.XLOOKUP(E404,Index!$A:$A,Index!$B:$B),"")</f>
        <v>747.5</v>
      </c>
      <c r="L404" s="238"/>
    </row>
    <row r="405" spans="1:12" x14ac:dyDescent="0.2">
      <c r="A405" s="66"/>
      <c r="B405" s="60" t="s">
        <v>648</v>
      </c>
      <c r="C405" s="125">
        <v>5</v>
      </c>
      <c r="D405" s="116">
        <v>125</v>
      </c>
      <c r="E405" s="35" t="s">
        <v>1738</v>
      </c>
      <c r="F405" s="34">
        <f>IFERROR(_xlfn.XLOOKUP(E405,Index!$A:$A,Index!$B:$B),"")</f>
        <v>1662</v>
      </c>
      <c r="L405" s="238"/>
    </row>
    <row r="406" spans="1:12" x14ac:dyDescent="0.2">
      <c r="A406" s="26"/>
      <c r="B406" s="26"/>
      <c r="C406" s="64">
        <v>6</v>
      </c>
      <c r="D406" s="116">
        <v>150</v>
      </c>
      <c r="E406" s="35" t="s">
        <v>1739</v>
      </c>
      <c r="F406" s="34">
        <f>IFERROR(_xlfn.XLOOKUP(E406,Index!$A:$A,Index!$B:$B),"")</f>
        <v>1953</v>
      </c>
      <c r="L406" s="238"/>
    </row>
    <row r="407" spans="1:12" x14ac:dyDescent="0.2">
      <c r="A407" s="26"/>
      <c r="B407" s="26"/>
      <c r="C407" s="64">
        <v>8</v>
      </c>
      <c r="D407" s="116">
        <v>200</v>
      </c>
      <c r="E407" s="35" t="s">
        <v>1740</v>
      </c>
      <c r="F407" s="34">
        <f>IFERROR(_xlfn.XLOOKUP(E407,Index!$A:$A,Index!$B:$B),"")</f>
        <v>2325</v>
      </c>
      <c r="L407" s="238"/>
    </row>
    <row r="408" spans="1:12" x14ac:dyDescent="0.2">
      <c r="A408" s="26"/>
      <c r="B408" s="26"/>
      <c r="C408" s="64">
        <v>10</v>
      </c>
      <c r="D408" s="116">
        <v>250</v>
      </c>
      <c r="E408" s="35" t="s">
        <v>1741</v>
      </c>
      <c r="F408" s="34">
        <f>IFERROR(_xlfn.XLOOKUP(E408,Index!$A:$A,Index!$B:$B),"")</f>
        <v>2658</v>
      </c>
      <c r="L408" s="238"/>
    </row>
    <row r="409" spans="1:12" x14ac:dyDescent="0.2">
      <c r="A409" s="26"/>
      <c r="B409" s="26"/>
      <c r="C409" s="64">
        <v>12</v>
      </c>
      <c r="D409" s="116">
        <v>300</v>
      </c>
      <c r="E409" s="35" t="s">
        <v>1742</v>
      </c>
      <c r="F409" s="34">
        <f>IFERROR(_xlfn.XLOOKUP(E409,Index!$A:$A,Index!$B:$B),"")</f>
        <v>2989</v>
      </c>
      <c r="L409" s="238"/>
    </row>
    <row r="410" spans="1:12" x14ac:dyDescent="0.2">
      <c r="A410" s="26"/>
      <c r="B410" s="60" t="s">
        <v>122</v>
      </c>
      <c r="C410" s="70">
        <v>1.5</v>
      </c>
      <c r="D410" s="38">
        <v>40</v>
      </c>
      <c r="E410" s="35" t="s">
        <v>1743</v>
      </c>
      <c r="F410" s="34">
        <f>IFERROR(_xlfn.XLOOKUP(E410,Index!$A:$A,Index!$B:$B),"")</f>
        <v>541</v>
      </c>
      <c r="L410" s="238"/>
    </row>
    <row r="411" spans="1:12" x14ac:dyDescent="0.2">
      <c r="A411" s="26"/>
      <c r="B411" s="26"/>
      <c r="C411" s="64">
        <v>2</v>
      </c>
      <c r="D411" s="116">
        <v>50</v>
      </c>
      <c r="E411" s="35" t="s">
        <v>1744</v>
      </c>
      <c r="F411" s="34">
        <f>IFERROR(_xlfn.XLOOKUP(E411,Index!$A:$A,Index!$B:$B),"")</f>
        <v>541</v>
      </c>
      <c r="L411" s="238"/>
    </row>
    <row r="412" spans="1:12" x14ac:dyDescent="0.2">
      <c r="A412" s="26"/>
      <c r="B412" s="26"/>
      <c r="C412" s="64">
        <v>2.5</v>
      </c>
      <c r="D412" s="116">
        <v>65</v>
      </c>
      <c r="E412" s="38" t="s">
        <v>5542</v>
      </c>
      <c r="F412" s="250">
        <f>F413</f>
        <v>996.5</v>
      </c>
      <c r="L412" s="238"/>
    </row>
    <row r="413" spans="1:12" x14ac:dyDescent="0.2">
      <c r="A413" s="26"/>
      <c r="B413" s="26"/>
      <c r="C413" s="64">
        <v>3</v>
      </c>
      <c r="D413" s="116">
        <v>80</v>
      </c>
      <c r="E413" s="35" t="s">
        <v>1745</v>
      </c>
      <c r="F413" s="34">
        <f>IFERROR(_xlfn.XLOOKUP(E413,Index!$A:$A,Index!$B:$B),"")</f>
        <v>996.5</v>
      </c>
      <c r="L413" s="238"/>
    </row>
    <row r="414" spans="1:12" x14ac:dyDescent="0.2">
      <c r="A414" s="26"/>
      <c r="B414" s="26"/>
      <c r="C414" s="64">
        <v>4</v>
      </c>
      <c r="D414" s="116">
        <v>100</v>
      </c>
      <c r="E414" s="35" t="s">
        <v>1746</v>
      </c>
      <c r="F414" s="34">
        <f>IFERROR(_xlfn.XLOOKUP(E414,Index!$A:$A,Index!$B:$B),"")</f>
        <v>1080</v>
      </c>
      <c r="L414" s="238"/>
    </row>
    <row r="415" spans="1:12" x14ac:dyDescent="0.2">
      <c r="A415" s="26"/>
      <c r="B415" s="26"/>
      <c r="C415" s="64">
        <v>5</v>
      </c>
      <c r="D415" s="116">
        <v>125</v>
      </c>
      <c r="E415" s="38" t="s">
        <v>5542</v>
      </c>
      <c r="F415" s="250">
        <f>F416-100</f>
        <v>2558</v>
      </c>
      <c r="L415" s="238"/>
    </row>
    <row r="416" spans="1:12" x14ac:dyDescent="0.2">
      <c r="A416" s="26"/>
      <c r="B416" s="26"/>
      <c r="C416" s="64">
        <v>6</v>
      </c>
      <c r="D416" s="116">
        <v>150</v>
      </c>
      <c r="E416" s="35" t="s">
        <v>1747</v>
      </c>
      <c r="F416" s="34">
        <f>IFERROR(_xlfn.XLOOKUP(E416,Index!$A:$A,Index!$B:$B),"")</f>
        <v>2658</v>
      </c>
      <c r="L416" s="238"/>
    </row>
    <row r="417" spans="1:12" x14ac:dyDescent="0.2">
      <c r="A417" s="26"/>
      <c r="B417" s="26"/>
      <c r="C417" s="64">
        <v>8</v>
      </c>
      <c r="D417" s="116">
        <v>200</v>
      </c>
      <c r="E417" s="35" t="s">
        <v>1748</v>
      </c>
      <c r="F417" s="34">
        <f>IFERROR(_xlfn.XLOOKUP(E417,Index!$A:$A,Index!$B:$B),"")</f>
        <v>2908</v>
      </c>
      <c r="L417" s="238"/>
    </row>
    <row r="418" spans="1:12" x14ac:dyDescent="0.2">
      <c r="A418" s="26"/>
      <c r="B418" s="26"/>
      <c r="C418" s="64">
        <v>10</v>
      </c>
      <c r="D418" s="116">
        <v>250</v>
      </c>
      <c r="E418" s="35" t="s">
        <v>1749</v>
      </c>
      <c r="F418" s="34">
        <f>IFERROR(_xlfn.XLOOKUP(E418,Index!$A:$A,Index!$B:$B),"")</f>
        <v>3239</v>
      </c>
      <c r="L418" s="238"/>
    </row>
    <row r="419" spans="1:12" x14ac:dyDescent="0.2">
      <c r="A419" s="26"/>
      <c r="B419" s="26"/>
      <c r="C419" s="185">
        <v>12</v>
      </c>
      <c r="D419" s="225">
        <v>300</v>
      </c>
      <c r="E419" s="89" t="s">
        <v>1750</v>
      </c>
      <c r="F419" s="34">
        <f>IFERROR(_xlfn.XLOOKUP(E419,Index!$A:$A,Index!$B:$B),"")</f>
        <v>4734</v>
      </c>
      <c r="L419" s="238"/>
    </row>
    <row r="420" spans="1:12" x14ac:dyDescent="0.2">
      <c r="A420" s="26"/>
      <c r="B420" s="60" t="s">
        <v>134</v>
      </c>
      <c r="C420" s="70">
        <v>1.5</v>
      </c>
      <c r="D420" s="38">
        <v>40</v>
      </c>
      <c r="E420" s="38" t="s">
        <v>5542</v>
      </c>
      <c r="F420" s="250">
        <f>F421</f>
        <v>541</v>
      </c>
      <c r="L420" s="238"/>
    </row>
    <row r="421" spans="1:12" x14ac:dyDescent="0.2">
      <c r="A421" s="26"/>
      <c r="B421" s="26"/>
      <c r="C421" s="64">
        <v>2</v>
      </c>
      <c r="D421" s="116">
        <v>50</v>
      </c>
      <c r="E421" s="35" t="s">
        <v>1751</v>
      </c>
      <c r="F421" s="34">
        <f>IFERROR(_xlfn.XLOOKUP(E421,Index!$A:$A,Index!$B:$B),"")</f>
        <v>541</v>
      </c>
      <c r="L421" s="238"/>
    </row>
    <row r="422" spans="1:12" x14ac:dyDescent="0.2">
      <c r="A422" s="26"/>
      <c r="B422" s="26"/>
      <c r="C422" s="64">
        <v>2.5</v>
      </c>
      <c r="D422" s="116">
        <v>65</v>
      </c>
      <c r="E422" s="38" t="s">
        <v>5542</v>
      </c>
      <c r="F422" s="250">
        <f>F423</f>
        <v>996.5</v>
      </c>
      <c r="L422" s="238"/>
    </row>
    <row r="423" spans="1:12" x14ac:dyDescent="0.2">
      <c r="A423" s="26"/>
      <c r="B423" s="26"/>
      <c r="C423" s="64">
        <v>3</v>
      </c>
      <c r="D423" s="116">
        <v>80</v>
      </c>
      <c r="E423" s="35" t="s">
        <v>1752</v>
      </c>
      <c r="F423" s="34">
        <f>IFERROR(_xlfn.XLOOKUP(E423,Index!$A:$A,Index!$B:$B),"")</f>
        <v>996.5</v>
      </c>
      <c r="L423" s="238"/>
    </row>
    <row r="424" spans="1:12" x14ac:dyDescent="0.2">
      <c r="A424" s="26"/>
      <c r="B424" s="26"/>
      <c r="C424" s="64">
        <v>4</v>
      </c>
      <c r="D424" s="116">
        <v>100</v>
      </c>
      <c r="E424" s="38" t="s">
        <v>5542</v>
      </c>
      <c r="F424" s="250">
        <f>F423+50</f>
        <v>1046.5</v>
      </c>
      <c r="L424" s="238"/>
    </row>
    <row r="425" spans="1:12" x14ac:dyDescent="0.2">
      <c r="A425" s="26"/>
      <c r="B425" s="26"/>
      <c r="C425" s="64">
        <v>5</v>
      </c>
      <c r="D425" s="116">
        <v>125</v>
      </c>
      <c r="E425" s="38" t="s">
        <v>5542</v>
      </c>
      <c r="F425" s="250">
        <f>F426-100</f>
        <v>2558</v>
      </c>
      <c r="L425" s="238"/>
    </row>
    <row r="426" spans="1:12" x14ac:dyDescent="0.2">
      <c r="A426" s="26"/>
      <c r="B426" s="26"/>
      <c r="C426" s="64">
        <v>6</v>
      </c>
      <c r="D426" s="116">
        <v>150</v>
      </c>
      <c r="E426" s="35" t="s">
        <v>1753</v>
      </c>
      <c r="F426" s="34">
        <f>IFERROR(_xlfn.XLOOKUP(E426,Index!$A:$A,Index!$B:$B),"")</f>
        <v>2658</v>
      </c>
      <c r="L426" s="238"/>
    </row>
    <row r="427" spans="1:12" x14ac:dyDescent="0.2">
      <c r="A427" s="26"/>
      <c r="B427" s="26"/>
      <c r="C427" s="64">
        <v>8</v>
      </c>
      <c r="D427" s="116">
        <v>200</v>
      </c>
      <c r="E427" s="35" t="s">
        <v>1754</v>
      </c>
      <c r="F427" s="34">
        <f>IFERROR(_xlfn.XLOOKUP(E427,Index!$A:$A,Index!$B:$B),"")</f>
        <v>2908</v>
      </c>
      <c r="L427" s="238"/>
    </row>
    <row r="428" spans="1:12" x14ac:dyDescent="0.2">
      <c r="A428" s="26"/>
      <c r="B428" s="26"/>
      <c r="C428" s="64">
        <v>10</v>
      </c>
      <c r="D428" s="116">
        <v>250</v>
      </c>
      <c r="E428" s="35" t="s">
        <v>1755</v>
      </c>
      <c r="F428" s="34">
        <f>IFERROR(_xlfn.XLOOKUP(E428,Index!$A:$A,Index!$B:$B),"")</f>
        <v>3239</v>
      </c>
      <c r="L428" s="238"/>
    </row>
    <row r="429" spans="1:12" x14ac:dyDescent="0.2">
      <c r="A429" s="26"/>
      <c r="B429" s="27"/>
      <c r="C429" s="64">
        <v>12</v>
      </c>
      <c r="D429" s="116">
        <v>300</v>
      </c>
      <c r="E429" s="35" t="s">
        <v>1756</v>
      </c>
      <c r="F429" s="34">
        <f>IFERROR(_xlfn.XLOOKUP(E429,Index!$A:$A,Index!$B:$B),"")</f>
        <v>4734</v>
      </c>
      <c r="L429" s="238"/>
    </row>
    <row r="430" spans="1:12" x14ac:dyDescent="0.2">
      <c r="A430" s="26"/>
      <c r="B430" s="60" t="s">
        <v>145</v>
      </c>
      <c r="C430" s="70">
        <v>1.5</v>
      </c>
      <c r="D430" s="38">
        <v>40</v>
      </c>
      <c r="E430" s="38" t="s">
        <v>5542</v>
      </c>
      <c r="F430" s="250">
        <f>F431</f>
        <v>541</v>
      </c>
      <c r="L430" s="238"/>
    </row>
    <row r="431" spans="1:12" x14ac:dyDescent="0.2">
      <c r="A431" s="26"/>
      <c r="B431" s="26"/>
      <c r="C431" s="64">
        <v>2</v>
      </c>
      <c r="D431" s="116">
        <v>50</v>
      </c>
      <c r="E431" s="35" t="s">
        <v>1757</v>
      </c>
      <c r="F431" s="34">
        <f>IFERROR(_xlfn.XLOOKUP(E431,Index!$A:$A,Index!$B:$B),"")</f>
        <v>541</v>
      </c>
      <c r="L431" s="238"/>
    </row>
    <row r="432" spans="1:12" x14ac:dyDescent="0.2">
      <c r="A432" s="26"/>
      <c r="B432" s="26"/>
      <c r="C432" s="64">
        <v>2.5</v>
      </c>
      <c r="D432" s="116">
        <v>65</v>
      </c>
      <c r="E432" s="38" t="s">
        <v>5542</v>
      </c>
      <c r="F432" s="250">
        <f>F433</f>
        <v>996.5</v>
      </c>
      <c r="L432" s="238"/>
    </row>
    <row r="433" spans="1:12" x14ac:dyDescent="0.2">
      <c r="A433" s="26"/>
      <c r="B433" s="26"/>
      <c r="C433" s="64">
        <v>3</v>
      </c>
      <c r="D433" s="116">
        <v>80</v>
      </c>
      <c r="E433" s="35" t="s">
        <v>1758</v>
      </c>
      <c r="F433" s="34">
        <f>IFERROR(_xlfn.XLOOKUP(E433,Index!$A:$A,Index!$B:$B),"")</f>
        <v>996.5</v>
      </c>
      <c r="L433" s="238"/>
    </row>
    <row r="434" spans="1:12" x14ac:dyDescent="0.2">
      <c r="A434" s="26"/>
      <c r="B434" s="26"/>
      <c r="C434" s="64">
        <v>4</v>
      </c>
      <c r="D434" s="116">
        <v>100</v>
      </c>
      <c r="E434" s="35" t="s">
        <v>1759</v>
      </c>
      <c r="F434" s="34">
        <f>IFERROR(_xlfn.XLOOKUP(E434,Index!$A:$A,Index!$B:$B),"")</f>
        <v>1080</v>
      </c>
      <c r="L434" s="238"/>
    </row>
    <row r="435" spans="1:12" x14ac:dyDescent="0.2">
      <c r="A435" s="26"/>
      <c r="B435" s="26"/>
      <c r="C435" s="64">
        <v>5</v>
      </c>
      <c r="D435" s="116">
        <v>125</v>
      </c>
      <c r="E435" s="38" t="s">
        <v>5542</v>
      </c>
      <c r="F435" s="250">
        <f>F436-100</f>
        <v>2558</v>
      </c>
      <c r="L435" s="238"/>
    </row>
    <row r="436" spans="1:12" x14ac:dyDescent="0.2">
      <c r="A436" s="26"/>
      <c r="B436" s="26"/>
      <c r="C436" s="64">
        <v>6</v>
      </c>
      <c r="D436" s="116">
        <v>150</v>
      </c>
      <c r="E436" s="35" t="s">
        <v>1760</v>
      </c>
      <c r="F436" s="34">
        <f>IFERROR(_xlfn.XLOOKUP(E436,Index!$A:$A,Index!$B:$B),"")</f>
        <v>2658</v>
      </c>
      <c r="L436" s="238"/>
    </row>
    <row r="437" spans="1:12" x14ac:dyDescent="0.2">
      <c r="A437" s="26"/>
      <c r="B437" s="26"/>
      <c r="C437" s="64">
        <v>8</v>
      </c>
      <c r="D437" s="116">
        <v>200</v>
      </c>
      <c r="E437" s="35" t="s">
        <v>1761</v>
      </c>
      <c r="F437" s="34">
        <f>IFERROR(_xlfn.XLOOKUP(E437,Index!$A:$A,Index!$B:$B),"")</f>
        <v>2908</v>
      </c>
      <c r="L437" s="238"/>
    </row>
    <row r="438" spans="1:12" x14ac:dyDescent="0.2">
      <c r="A438" s="26"/>
      <c r="B438" s="26"/>
      <c r="C438" s="64">
        <v>10</v>
      </c>
      <c r="D438" s="116">
        <v>250</v>
      </c>
      <c r="E438" s="38" t="s">
        <v>5542</v>
      </c>
      <c r="F438" s="250">
        <f t="shared" ref="F438:F439" si="0">F428</f>
        <v>3239</v>
      </c>
      <c r="L438" s="238"/>
    </row>
    <row r="439" spans="1:12" x14ac:dyDescent="0.2">
      <c r="A439" s="26"/>
      <c r="B439" s="27"/>
      <c r="C439" s="64">
        <v>12</v>
      </c>
      <c r="D439" s="116">
        <v>300</v>
      </c>
      <c r="E439" s="38" t="s">
        <v>5542</v>
      </c>
      <c r="F439" s="251">
        <f t="shared" si="0"/>
        <v>4734</v>
      </c>
      <c r="L439" s="238"/>
    </row>
    <row r="440" spans="1:12" x14ac:dyDescent="0.2">
      <c r="A440" s="26"/>
      <c r="B440" s="60" t="s">
        <v>155</v>
      </c>
      <c r="C440" s="70">
        <v>1.5</v>
      </c>
      <c r="D440" s="38">
        <v>40</v>
      </c>
      <c r="E440" s="35" t="s">
        <v>1762</v>
      </c>
      <c r="F440" s="34">
        <f>IFERROR(_xlfn.XLOOKUP(E440,Index!$A:$A,Index!$B:$B),"")</f>
        <v>541</v>
      </c>
      <c r="L440" s="238"/>
    </row>
    <row r="441" spans="1:12" x14ac:dyDescent="0.2">
      <c r="A441" s="26"/>
      <c r="B441" s="26"/>
      <c r="C441" s="64">
        <v>2</v>
      </c>
      <c r="D441" s="116">
        <v>50</v>
      </c>
      <c r="E441" s="35" t="s">
        <v>1763</v>
      </c>
      <c r="F441" s="34">
        <f>IFERROR(_xlfn.XLOOKUP(E441,Index!$A:$A,Index!$B:$B),"")</f>
        <v>541</v>
      </c>
      <c r="L441" s="238"/>
    </row>
    <row r="442" spans="1:12" x14ac:dyDescent="0.2">
      <c r="A442" s="26"/>
      <c r="B442" s="26"/>
      <c r="C442" s="64">
        <v>2.5</v>
      </c>
      <c r="D442" s="116">
        <v>65</v>
      </c>
      <c r="E442" s="35" t="s">
        <v>1764</v>
      </c>
      <c r="F442" s="34">
        <f>IFERROR(_xlfn.XLOOKUP(E442,Index!$A:$A,Index!$B:$B),"")</f>
        <v>996.5</v>
      </c>
      <c r="L442" s="238"/>
    </row>
    <row r="443" spans="1:12" x14ac:dyDescent="0.2">
      <c r="A443" s="26"/>
      <c r="B443" s="26"/>
      <c r="C443" s="64">
        <v>3</v>
      </c>
      <c r="D443" s="116">
        <v>80</v>
      </c>
      <c r="E443" s="35" t="s">
        <v>1765</v>
      </c>
      <c r="F443" s="34">
        <f>IFERROR(_xlfn.XLOOKUP(E443,Index!$A:$A,Index!$B:$B),"")</f>
        <v>996.5</v>
      </c>
      <c r="L443" s="238"/>
    </row>
    <row r="444" spans="1:12" x14ac:dyDescent="0.2">
      <c r="A444" s="26"/>
      <c r="B444" s="26"/>
      <c r="C444" s="64">
        <v>4</v>
      </c>
      <c r="D444" s="116">
        <v>100</v>
      </c>
      <c r="E444" s="38" t="s">
        <v>5542</v>
      </c>
      <c r="F444" s="250">
        <f t="shared" ref="F444:F445" si="1">F434</f>
        <v>1080</v>
      </c>
      <c r="L444" s="238"/>
    </row>
    <row r="445" spans="1:12" x14ac:dyDescent="0.2">
      <c r="A445" s="26"/>
      <c r="B445" s="26"/>
      <c r="C445" s="64">
        <v>5</v>
      </c>
      <c r="D445" s="116">
        <v>125</v>
      </c>
      <c r="E445" s="38" t="s">
        <v>5542</v>
      </c>
      <c r="F445" s="250">
        <f t="shared" si="1"/>
        <v>2558</v>
      </c>
      <c r="L445" s="238"/>
    </row>
    <row r="446" spans="1:12" x14ac:dyDescent="0.2">
      <c r="A446" s="26"/>
      <c r="B446" s="26"/>
      <c r="C446" s="64">
        <v>6</v>
      </c>
      <c r="D446" s="116">
        <v>150</v>
      </c>
      <c r="E446" s="35" t="s">
        <v>1766</v>
      </c>
      <c r="F446" s="34">
        <f>IFERROR(_xlfn.XLOOKUP(E446,Index!$A:$A,Index!$B:$B),"")</f>
        <v>2658</v>
      </c>
      <c r="L446" s="238"/>
    </row>
    <row r="447" spans="1:12" x14ac:dyDescent="0.2">
      <c r="A447" s="26"/>
      <c r="B447" s="26"/>
      <c r="C447" s="64">
        <v>8</v>
      </c>
      <c r="D447" s="116">
        <v>200</v>
      </c>
      <c r="E447" s="35" t="s">
        <v>1767</v>
      </c>
      <c r="F447" s="34">
        <f>IFERROR(_xlfn.XLOOKUP(E447,Index!$A:$A,Index!$B:$B),"")</f>
        <v>2908</v>
      </c>
      <c r="L447" s="238"/>
    </row>
    <row r="448" spans="1:12" x14ac:dyDescent="0.2">
      <c r="A448" s="26"/>
      <c r="B448" s="26"/>
      <c r="C448" s="64">
        <v>10</v>
      </c>
      <c r="D448" s="116">
        <v>250</v>
      </c>
      <c r="E448" s="38" t="s">
        <v>5542</v>
      </c>
      <c r="F448" s="250">
        <f>$F$438</f>
        <v>3239</v>
      </c>
      <c r="L448" s="238"/>
    </row>
    <row r="449" spans="1:12" x14ac:dyDescent="0.2">
      <c r="A449" s="27"/>
      <c r="B449" s="27"/>
      <c r="C449" s="64">
        <v>12</v>
      </c>
      <c r="D449" s="116">
        <v>300</v>
      </c>
      <c r="E449" s="35" t="s">
        <v>1768</v>
      </c>
      <c r="F449" s="34">
        <f>IFERROR(_xlfn.XLOOKUP(E449,Index!$A:$A,Index!$B:$B),"")</f>
        <v>4734</v>
      </c>
      <c r="L449" s="238"/>
    </row>
    <row r="450" spans="1:12" x14ac:dyDescent="0.2">
      <c r="L450" s="238"/>
    </row>
    <row r="451" spans="1:12" x14ac:dyDescent="0.2">
      <c r="L451" s="238"/>
    </row>
    <row r="452" spans="1:12" x14ac:dyDescent="0.2">
      <c r="L452" s="238"/>
    </row>
    <row r="453" spans="1:12" ht="15.75" x14ac:dyDescent="0.2">
      <c r="A453" s="62" t="s">
        <v>1769</v>
      </c>
      <c r="B453" s="62" t="s">
        <v>174</v>
      </c>
      <c r="C453" s="243"/>
      <c r="D453" s="3"/>
      <c r="E453" s="8"/>
      <c r="F453" s="9"/>
      <c r="G453" s="10"/>
      <c r="H453" s="19"/>
      <c r="I453" s="19"/>
      <c r="J453" s="20"/>
      <c r="L453" s="238"/>
    </row>
    <row r="454" spans="1:12" ht="15.75" x14ac:dyDescent="0.2">
      <c r="A454" s="48" t="s">
        <v>5564</v>
      </c>
      <c r="B454" s="11"/>
      <c r="C454" s="4"/>
      <c r="D454" s="4"/>
      <c r="E454" s="5"/>
      <c r="F454" s="9"/>
      <c r="G454" s="4"/>
      <c r="H454" s="19"/>
      <c r="I454" s="19"/>
      <c r="J454" s="20"/>
      <c r="L454" s="238"/>
    </row>
    <row r="455" spans="1:12" ht="24" x14ac:dyDescent="0.2">
      <c r="A455" s="25" t="s">
        <v>35</v>
      </c>
      <c r="B455" s="28" t="s">
        <v>36</v>
      </c>
      <c r="C455" s="333" t="s">
        <v>37</v>
      </c>
      <c r="D455" s="334"/>
      <c r="E455" s="335" t="s">
        <v>38</v>
      </c>
      <c r="F455" s="336"/>
      <c r="G455" s="335" t="s">
        <v>39</v>
      </c>
      <c r="H455" s="336"/>
      <c r="I455" s="29" t="s">
        <v>1271</v>
      </c>
      <c r="J455" s="24" t="s">
        <v>41</v>
      </c>
      <c r="L455" s="238"/>
    </row>
    <row r="456" spans="1:12" x14ac:dyDescent="0.2">
      <c r="A456" s="32"/>
      <c r="B456" s="32"/>
      <c r="C456" s="33" t="s">
        <v>42</v>
      </c>
      <c r="D456" s="33" t="s">
        <v>43</v>
      </c>
      <c r="E456" s="33" t="s">
        <v>44</v>
      </c>
      <c r="F456" s="33" t="s">
        <v>45</v>
      </c>
      <c r="G456" s="33" t="s">
        <v>46</v>
      </c>
      <c r="H456" s="39" t="s">
        <v>47</v>
      </c>
      <c r="I456" s="33"/>
      <c r="J456" s="41"/>
      <c r="L456" s="238"/>
    </row>
    <row r="457" spans="1:12" x14ac:dyDescent="0.2">
      <c r="A457" s="26">
        <v>186</v>
      </c>
      <c r="B457" s="26" t="s">
        <v>1695</v>
      </c>
      <c r="C457" s="30" t="s">
        <v>50</v>
      </c>
      <c r="D457" s="35" t="s">
        <v>176</v>
      </c>
      <c r="E457" s="82" t="s">
        <v>1632</v>
      </c>
      <c r="F457" s="37">
        <v>40</v>
      </c>
      <c r="G457" s="35">
        <v>23</v>
      </c>
      <c r="H457" s="38">
        <v>10.4</v>
      </c>
      <c r="I457" s="38" t="s">
        <v>1770</v>
      </c>
      <c r="J457" s="34">
        <f>IFERROR(_xlfn.XLOOKUP(I457,Index!$A:$A,Index!$B:$B),"")</f>
        <v>2660</v>
      </c>
      <c r="L457" s="238"/>
    </row>
    <row r="458" spans="1:12" x14ac:dyDescent="0.2">
      <c r="A458" s="26"/>
      <c r="B458" s="26"/>
      <c r="C458" s="30"/>
      <c r="D458" s="35" t="s">
        <v>53</v>
      </c>
      <c r="E458" s="82" t="s">
        <v>1632</v>
      </c>
      <c r="F458" s="37">
        <v>40</v>
      </c>
      <c r="G458" s="35">
        <v>23</v>
      </c>
      <c r="H458" s="38">
        <v>10.4</v>
      </c>
      <c r="I458" s="38" t="s">
        <v>5665</v>
      </c>
      <c r="J458" s="34">
        <f>IFERROR(_xlfn.XLOOKUP(I458,Index!$A:$A,Index!$B:$B),"")</f>
        <v>2791</v>
      </c>
      <c r="L458" s="238"/>
    </row>
    <row r="459" spans="1:12" x14ac:dyDescent="0.2">
      <c r="A459" s="26"/>
      <c r="B459" s="26"/>
      <c r="C459" s="30"/>
      <c r="D459" s="35" t="s">
        <v>55</v>
      </c>
      <c r="E459" s="82" t="s">
        <v>1632</v>
      </c>
      <c r="F459" s="37">
        <v>40</v>
      </c>
      <c r="G459" s="35">
        <v>23</v>
      </c>
      <c r="H459" s="38">
        <v>10.4</v>
      </c>
      <c r="I459" s="38" t="s">
        <v>5666</v>
      </c>
      <c r="J459" s="34">
        <f>IFERROR(_xlfn.XLOOKUP(I459,Index!$A:$A,Index!$B:$B),"")</f>
        <v>2791</v>
      </c>
      <c r="L459" s="238"/>
    </row>
    <row r="460" spans="1:12" x14ac:dyDescent="0.2">
      <c r="A460" s="26"/>
      <c r="B460" s="26"/>
      <c r="C460" s="30"/>
      <c r="D460" s="35" t="s">
        <v>176</v>
      </c>
      <c r="E460" s="82" t="s">
        <v>1159</v>
      </c>
      <c r="F460" s="37">
        <v>50</v>
      </c>
      <c r="G460" s="35">
        <v>34</v>
      </c>
      <c r="H460" s="38">
        <v>15.4</v>
      </c>
      <c r="I460" s="38" t="s">
        <v>1771</v>
      </c>
      <c r="J460" s="34">
        <f>IFERROR(_xlfn.XLOOKUP(I460,Index!$A:$A,Index!$B:$B),"")</f>
        <v>2660</v>
      </c>
      <c r="L460" s="238"/>
    </row>
    <row r="461" spans="1:12" x14ac:dyDescent="0.2">
      <c r="A461" s="26"/>
      <c r="B461" s="26"/>
      <c r="C461" s="30"/>
      <c r="D461" s="35" t="s">
        <v>53</v>
      </c>
      <c r="E461" s="82" t="s">
        <v>1159</v>
      </c>
      <c r="F461" s="37">
        <v>50</v>
      </c>
      <c r="G461" s="35">
        <v>34</v>
      </c>
      <c r="H461" s="38">
        <v>15.4</v>
      </c>
      <c r="I461" s="38" t="s">
        <v>1772</v>
      </c>
      <c r="J461" s="34">
        <f>IFERROR(_xlfn.XLOOKUP(I461,Index!$A:$A,Index!$B:$B),"")</f>
        <v>2791</v>
      </c>
      <c r="L461" s="238"/>
    </row>
    <row r="462" spans="1:12" x14ac:dyDescent="0.2">
      <c r="A462" s="26"/>
      <c r="B462" s="26"/>
      <c r="C462" s="30"/>
      <c r="D462" s="35" t="s">
        <v>55</v>
      </c>
      <c r="E462" s="82" t="s">
        <v>1159</v>
      </c>
      <c r="F462" s="37">
        <v>50</v>
      </c>
      <c r="G462" s="35">
        <v>34</v>
      </c>
      <c r="H462" s="38">
        <v>15.4</v>
      </c>
      <c r="I462" s="38" t="s">
        <v>1773</v>
      </c>
      <c r="J462" s="34">
        <f>IFERROR(_xlfn.XLOOKUP(I462,Index!$A:$A,Index!$B:$B),"")</f>
        <v>2791</v>
      </c>
      <c r="L462" s="238"/>
    </row>
    <row r="463" spans="1:12" x14ac:dyDescent="0.2">
      <c r="A463" s="26"/>
      <c r="B463" s="26"/>
      <c r="C463" s="30"/>
      <c r="D463" s="35" t="s">
        <v>176</v>
      </c>
      <c r="E463" s="82" t="s">
        <v>1460</v>
      </c>
      <c r="F463" s="37">
        <v>65</v>
      </c>
      <c r="G463" s="35">
        <v>40</v>
      </c>
      <c r="H463" s="38">
        <v>18</v>
      </c>
      <c r="I463" s="38" t="s">
        <v>1774</v>
      </c>
      <c r="J463" s="34">
        <f>IFERROR(_xlfn.XLOOKUP(I463,Index!$A:$A,Index!$B:$B),"")</f>
        <v>2998</v>
      </c>
      <c r="L463" s="238"/>
    </row>
    <row r="464" spans="1:12" x14ac:dyDescent="0.2">
      <c r="A464" s="26"/>
      <c r="B464" s="26"/>
      <c r="C464" s="30"/>
      <c r="D464" s="35" t="s">
        <v>53</v>
      </c>
      <c r="E464" s="82" t="s">
        <v>1460</v>
      </c>
      <c r="F464" s="37">
        <v>65</v>
      </c>
      <c r="G464" s="35">
        <v>40</v>
      </c>
      <c r="H464" s="38">
        <v>18</v>
      </c>
      <c r="I464" s="38" t="s">
        <v>5542</v>
      </c>
      <c r="J464" s="46">
        <f>J463+118</f>
        <v>3116</v>
      </c>
      <c r="L464" s="238"/>
    </row>
    <row r="465" spans="1:12" x14ac:dyDescent="0.2">
      <c r="A465" s="26"/>
      <c r="B465" s="26"/>
      <c r="C465" s="30"/>
      <c r="D465" s="35" t="s">
        <v>55</v>
      </c>
      <c r="E465" s="82" t="s">
        <v>1460</v>
      </c>
      <c r="F465" s="37">
        <v>65</v>
      </c>
      <c r="G465" s="35">
        <v>40</v>
      </c>
      <c r="H465" s="38">
        <v>18</v>
      </c>
      <c r="I465" s="38" t="s">
        <v>5667</v>
      </c>
      <c r="J465" s="34">
        <f>IFERROR(_xlfn.XLOOKUP(I465,Index!$A:$A,Index!$B:$B),"")</f>
        <v>3148</v>
      </c>
      <c r="L465" s="238"/>
    </row>
    <row r="466" spans="1:12" x14ac:dyDescent="0.2">
      <c r="A466" s="26"/>
      <c r="B466" s="26"/>
      <c r="C466" s="30"/>
      <c r="D466" s="35" t="s">
        <v>176</v>
      </c>
      <c r="E466" s="82" t="s">
        <v>1166</v>
      </c>
      <c r="F466" s="37">
        <v>80</v>
      </c>
      <c r="G466" s="35">
        <v>54</v>
      </c>
      <c r="H466" s="38">
        <v>24</v>
      </c>
      <c r="I466" s="38" t="s">
        <v>1775</v>
      </c>
      <c r="J466" s="34">
        <f>IFERROR(_xlfn.XLOOKUP(I466,Index!$A:$A,Index!$B:$B),"")</f>
        <v>3590</v>
      </c>
      <c r="L466" s="238"/>
    </row>
    <row r="467" spans="1:12" x14ac:dyDescent="0.2">
      <c r="A467" s="26"/>
      <c r="B467" s="26"/>
      <c r="C467" s="30"/>
      <c r="D467" s="35" t="s">
        <v>53</v>
      </c>
      <c r="E467" s="82" t="s">
        <v>1166</v>
      </c>
      <c r="F467" s="37">
        <v>80</v>
      </c>
      <c r="G467" s="35">
        <v>54</v>
      </c>
      <c r="H467" s="38">
        <v>24</v>
      </c>
      <c r="I467" s="38" t="s">
        <v>2887</v>
      </c>
      <c r="J467" s="34">
        <f>IFERROR(_xlfn.XLOOKUP(I467,Index!$A:$A,Index!$B:$B),"")</f>
        <v>3770</v>
      </c>
      <c r="L467" s="238"/>
    </row>
    <row r="468" spans="1:12" x14ac:dyDescent="0.2">
      <c r="A468" s="26"/>
      <c r="B468" s="26"/>
      <c r="C468" s="30"/>
      <c r="D468" s="35" t="s">
        <v>55</v>
      </c>
      <c r="E468" s="82" t="s">
        <v>1166</v>
      </c>
      <c r="F468" s="37">
        <v>80</v>
      </c>
      <c r="G468" s="35">
        <v>54</v>
      </c>
      <c r="H468" s="38">
        <v>24</v>
      </c>
      <c r="I468" s="38" t="s">
        <v>1776</v>
      </c>
      <c r="J468" s="34">
        <f>IFERROR(_xlfn.XLOOKUP(I468,Index!$A:$A,Index!$B:$B),"")</f>
        <v>3770</v>
      </c>
      <c r="L468" s="238"/>
    </row>
    <row r="469" spans="1:12" x14ac:dyDescent="0.2">
      <c r="A469" s="26"/>
      <c r="B469" s="26"/>
      <c r="C469" s="30"/>
      <c r="D469" s="35" t="s">
        <v>176</v>
      </c>
      <c r="E469" s="82" t="s">
        <v>1170</v>
      </c>
      <c r="F469" s="37">
        <v>100</v>
      </c>
      <c r="G469" s="35">
        <v>86</v>
      </c>
      <c r="H469" s="38">
        <v>39</v>
      </c>
      <c r="I469" s="38" t="s">
        <v>1777</v>
      </c>
      <c r="J469" s="34">
        <f>IFERROR(_xlfn.XLOOKUP(I469,Index!$A:$A,Index!$B:$B),"")</f>
        <v>4992</v>
      </c>
      <c r="L469" s="238"/>
    </row>
    <row r="470" spans="1:12" x14ac:dyDescent="0.2">
      <c r="A470" s="26"/>
      <c r="B470" s="26"/>
      <c r="C470" s="30"/>
      <c r="D470" s="35" t="s">
        <v>53</v>
      </c>
      <c r="E470" s="82" t="s">
        <v>1170</v>
      </c>
      <c r="F470" s="37">
        <v>100</v>
      </c>
      <c r="G470" s="35">
        <v>86</v>
      </c>
      <c r="H470" s="38">
        <v>39</v>
      </c>
      <c r="I470" s="38" t="s">
        <v>2888</v>
      </c>
      <c r="J470" s="34">
        <f>IFERROR(_xlfn.XLOOKUP(I470,Index!$A:$A,Index!$B:$B),"")</f>
        <v>5243</v>
      </c>
      <c r="L470" s="238"/>
    </row>
    <row r="471" spans="1:12" x14ac:dyDescent="0.2">
      <c r="A471" s="26"/>
      <c r="B471" s="26"/>
      <c r="C471" s="30"/>
      <c r="D471" s="35" t="s">
        <v>55</v>
      </c>
      <c r="E471" s="82" t="s">
        <v>1170</v>
      </c>
      <c r="F471" s="37">
        <v>100</v>
      </c>
      <c r="G471" s="35">
        <v>86</v>
      </c>
      <c r="H471" s="38">
        <v>39</v>
      </c>
      <c r="I471" s="38" t="s">
        <v>1778</v>
      </c>
      <c r="J471" s="34">
        <f>IFERROR(_xlfn.XLOOKUP(I471,Index!$A:$A,Index!$B:$B),"")</f>
        <v>5243</v>
      </c>
      <c r="L471" s="238"/>
    </row>
    <row r="472" spans="1:12" x14ac:dyDescent="0.2">
      <c r="A472" s="26"/>
      <c r="B472" s="26"/>
      <c r="C472" s="30"/>
      <c r="D472" s="35" t="s">
        <v>241</v>
      </c>
      <c r="E472" s="82" t="s">
        <v>1178</v>
      </c>
      <c r="F472" s="37">
        <v>150</v>
      </c>
      <c r="G472" s="35">
        <v>196</v>
      </c>
      <c r="H472" s="38">
        <v>89</v>
      </c>
      <c r="I472" s="38" t="s">
        <v>1779</v>
      </c>
      <c r="J472" s="34">
        <f>IFERROR(_xlfn.XLOOKUP(I472,Index!$A:$A,Index!$B:$B),"")</f>
        <v>8724</v>
      </c>
      <c r="L472" s="238"/>
    </row>
    <row r="473" spans="1:12" x14ac:dyDescent="0.2">
      <c r="A473" s="26"/>
      <c r="B473" s="26"/>
      <c r="C473" s="30"/>
      <c r="D473" s="35" t="s">
        <v>53</v>
      </c>
      <c r="E473" s="82" t="s">
        <v>1178</v>
      </c>
      <c r="F473" s="37">
        <v>150</v>
      </c>
      <c r="G473" s="35">
        <v>196</v>
      </c>
      <c r="H473" s="38">
        <v>89</v>
      </c>
      <c r="I473" s="38" t="s">
        <v>1780</v>
      </c>
      <c r="J473" s="34">
        <f>IFERROR(_xlfn.XLOOKUP(I473,Index!$A:$A,Index!$B:$B),"")</f>
        <v>9160</v>
      </c>
      <c r="L473" s="238"/>
    </row>
    <row r="474" spans="1:12" x14ac:dyDescent="0.2">
      <c r="A474" s="26"/>
      <c r="B474" s="26"/>
      <c r="C474" s="30"/>
      <c r="D474" s="35" t="s">
        <v>55</v>
      </c>
      <c r="E474" s="82" t="s">
        <v>1178</v>
      </c>
      <c r="F474" s="37">
        <v>150</v>
      </c>
      <c r="G474" s="35">
        <v>196</v>
      </c>
      <c r="H474" s="38">
        <v>89</v>
      </c>
      <c r="I474" s="38" t="s">
        <v>1781</v>
      </c>
      <c r="J474" s="34">
        <f>IFERROR(_xlfn.XLOOKUP(I474,Index!$A:$A,Index!$B:$B),"")</f>
        <v>9160</v>
      </c>
      <c r="L474" s="238"/>
    </row>
    <row r="475" spans="1:12" x14ac:dyDescent="0.2">
      <c r="A475" s="26"/>
      <c r="B475" s="26"/>
      <c r="C475" s="30"/>
      <c r="D475" s="35" t="s">
        <v>241</v>
      </c>
      <c r="E475" s="82" t="s">
        <v>1182</v>
      </c>
      <c r="F475" s="37">
        <v>200</v>
      </c>
      <c r="G475" s="35">
        <v>292</v>
      </c>
      <c r="H475" s="38">
        <v>132</v>
      </c>
      <c r="I475" s="38" t="s">
        <v>1782</v>
      </c>
      <c r="J475" s="34">
        <f>IFERROR(_xlfn.XLOOKUP(I475,Index!$A:$A,Index!$B:$B),"")</f>
        <v>11165</v>
      </c>
      <c r="L475" s="238"/>
    </row>
    <row r="476" spans="1:12" x14ac:dyDescent="0.2">
      <c r="A476" s="26"/>
      <c r="B476" s="26"/>
      <c r="C476" s="30"/>
      <c r="D476" s="35" t="s">
        <v>53</v>
      </c>
      <c r="E476" s="82" t="s">
        <v>1182</v>
      </c>
      <c r="F476" s="37">
        <v>200</v>
      </c>
      <c r="G476" s="35">
        <v>292</v>
      </c>
      <c r="H476" s="38">
        <v>132</v>
      </c>
      <c r="I476" s="38" t="s">
        <v>1783</v>
      </c>
      <c r="J476" s="34">
        <f>IFERROR(_xlfn.XLOOKUP(I476,Index!$A:$A,Index!$B:$B),"")</f>
        <v>11724</v>
      </c>
      <c r="L476" s="238"/>
    </row>
    <row r="477" spans="1:12" x14ac:dyDescent="0.2">
      <c r="A477" s="26"/>
      <c r="B477" s="26"/>
      <c r="C477" s="30"/>
      <c r="D477" s="35" t="s">
        <v>55</v>
      </c>
      <c r="E477" s="82" t="s">
        <v>1182</v>
      </c>
      <c r="F477" s="37">
        <v>200</v>
      </c>
      <c r="G477" s="35">
        <v>292</v>
      </c>
      <c r="H477" s="38">
        <v>132</v>
      </c>
      <c r="I477" s="38" t="s">
        <v>5668</v>
      </c>
      <c r="J477" s="34">
        <f>IFERROR(_xlfn.XLOOKUP(I477,Index!$A:$A,Index!$B:$B),"")</f>
        <v>11724</v>
      </c>
      <c r="L477" s="238"/>
    </row>
    <row r="478" spans="1:12" x14ac:dyDescent="0.2">
      <c r="A478" s="26"/>
      <c r="B478" s="26"/>
      <c r="C478" s="30"/>
      <c r="D478" s="35" t="s">
        <v>241</v>
      </c>
      <c r="E478" s="82" t="s">
        <v>1186</v>
      </c>
      <c r="F478" s="37">
        <v>250</v>
      </c>
      <c r="G478" s="35">
        <v>460</v>
      </c>
      <c r="H478" s="38">
        <v>209</v>
      </c>
      <c r="I478" s="38" t="s">
        <v>1784</v>
      </c>
      <c r="J478" s="34">
        <f>IFERROR(_xlfn.XLOOKUP(I478,Index!$A:$A,Index!$B:$B),"")</f>
        <v>18590</v>
      </c>
      <c r="L478" s="238"/>
    </row>
    <row r="479" spans="1:12" x14ac:dyDescent="0.2">
      <c r="A479" s="26"/>
      <c r="B479" s="26"/>
      <c r="C479" s="30"/>
      <c r="D479" s="35" t="s">
        <v>53</v>
      </c>
      <c r="E479" s="82" t="s">
        <v>1186</v>
      </c>
      <c r="F479" s="37">
        <v>250</v>
      </c>
      <c r="G479" s="35">
        <v>460</v>
      </c>
      <c r="H479" s="38">
        <v>209</v>
      </c>
      <c r="I479" s="38" t="s">
        <v>5669</v>
      </c>
      <c r="J479" s="34">
        <f>IFERROR(_xlfn.XLOOKUP(I479,Index!$A:$A,Index!$B:$B),"")</f>
        <v>19519</v>
      </c>
      <c r="L479" s="238"/>
    </row>
    <row r="480" spans="1:12" x14ac:dyDescent="0.2">
      <c r="A480" s="26"/>
      <c r="B480" s="26"/>
      <c r="C480" s="30"/>
      <c r="D480" s="35" t="s">
        <v>55</v>
      </c>
      <c r="E480" s="82" t="s">
        <v>1186</v>
      </c>
      <c r="F480" s="37">
        <v>250</v>
      </c>
      <c r="G480" s="35">
        <v>460</v>
      </c>
      <c r="H480" s="38">
        <v>209</v>
      </c>
      <c r="I480" s="38" t="s">
        <v>5542</v>
      </c>
      <c r="J480" s="46">
        <f>J479</f>
        <v>19519</v>
      </c>
      <c r="L480" s="238"/>
    </row>
    <row r="481" spans="1:12" x14ac:dyDescent="0.2">
      <c r="A481" s="26"/>
      <c r="B481" s="26"/>
      <c r="C481" s="30"/>
      <c r="D481" s="35" t="s">
        <v>241</v>
      </c>
      <c r="E481" s="82" t="s">
        <v>1190</v>
      </c>
      <c r="F481" s="37">
        <v>300</v>
      </c>
      <c r="G481" s="35">
        <v>790</v>
      </c>
      <c r="H481" s="38">
        <v>358</v>
      </c>
      <c r="I481" s="38" t="s">
        <v>1785</v>
      </c>
      <c r="J481" s="34">
        <f>IFERROR(_xlfn.XLOOKUP(I481,Index!$A:$A,Index!$B:$B),"")</f>
        <v>37689</v>
      </c>
      <c r="L481" s="238"/>
    </row>
    <row r="482" spans="1:12" x14ac:dyDescent="0.2">
      <c r="A482" s="26"/>
      <c r="B482" s="26"/>
      <c r="C482" s="30"/>
      <c r="D482" s="35" t="s">
        <v>53</v>
      </c>
      <c r="E482" s="82" t="s">
        <v>1190</v>
      </c>
      <c r="F482" s="37">
        <v>300</v>
      </c>
      <c r="G482" s="35">
        <v>790</v>
      </c>
      <c r="H482" s="38">
        <v>358</v>
      </c>
      <c r="I482" s="38" t="s">
        <v>1786</v>
      </c>
      <c r="J482" s="34">
        <f>IFERROR(_xlfn.XLOOKUP(I482,Index!$A:$A,Index!$B:$B),"")</f>
        <v>39574</v>
      </c>
      <c r="L482" s="238"/>
    </row>
    <row r="483" spans="1:12" x14ac:dyDescent="0.2">
      <c r="A483" s="27"/>
      <c r="B483" s="27"/>
      <c r="C483" s="31"/>
      <c r="D483" s="35" t="s">
        <v>55</v>
      </c>
      <c r="E483" s="82" t="s">
        <v>1190</v>
      </c>
      <c r="F483" s="37">
        <v>300</v>
      </c>
      <c r="G483" s="35">
        <v>790</v>
      </c>
      <c r="H483" s="38">
        <v>358</v>
      </c>
      <c r="I483" s="38" t="s">
        <v>5670</v>
      </c>
      <c r="J483" s="34">
        <f>IFERROR(_xlfn.XLOOKUP(I483,Index!$A:$A,Index!$B:$B),"")</f>
        <v>39574</v>
      </c>
      <c r="L483" s="238"/>
    </row>
    <row r="484" spans="1:12" x14ac:dyDescent="0.2">
      <c r="L484" s="238"/>
    </row>
    <row r="485" spans="1:12" x14ac:dyDescent="0.2">
      <c r="L485" s="238"/>
    </row>
    <row r="486" spans="1:12" x14ac:dyDescent="0.2">
      <c r="L486" s="238"/>
    </row>
    <row r="487" spans="1:12" ht="17.649999999999999" customHeight="1" x14ac:dyDescent="0.25">
      <c r="A487" s="217" t="s">
        <v>1769</v>
      </c>
      <c r="B487" s="47" t="s">
        <v>174</v>
      </c>
      <c r="C487" s="275"/>
      <c r="D487" s="49"/>
      <c r="E487" s="50"/>
      <c r="F487" s="101"/>
      <c r="L487" s="238"/>
    </row>
    <row r="488" spans="1:12" ht="15.75" x14ac:dyDescent="0.2">
      <c r="A488" s="48" t="s">
        <v>102</v>
      </c>
      <c r="B488" s="217"/>
      <c r="C488" s="58"/>
      <c r="D488" s="58"/>
      <c r="E488" s="59"/>
      <c r="F488" s="101"/>
      <c r="L488" s="238"/>
    </row>
    <row r="489" spans="1:12" x14ac:dyDescent="0.2">
      <c r="A489" s="25" t="s">
        <v>35</v>
      </c>
      <c r="B489" s="28" t="s">
        <v>103</v>
      </c>
      <c r="C489" s="335" t="s">
        <v>38</v>
      </c>
      <c r="D489" s="335"/>
      <c r="E489" s="42" t="s">
        <v>40</v>
      </c>
      <c r="F489" s="43" t="s">
        <v>41</v>
      </c>
      <c r="L489" s="238"/>
    </row>
    <row r="490" spans="1:12" x14ac:dyDescent="0.2">
      <c r="A490" s="32"/>
      <c r="B490" s="32"/>
      <c r="C490" s="33" t="s">
        <v>44</v>
      </c>
      <c r="D490" s="33" t="s">
        <v>45</v>
      </c>
      <c r="E490" s="33"/>
      <c r="F490" s="44"/>
      <c r="L490" s="238"/>
    </row>
    <row r="491" spans="1:12" x14ac:dyDescent="0.2">
      <c r="A491" s="60">
        <v>186</v>
      </c>
      <c r="B491" s="60" t="s">
        <v>104</v>
      </c>
      <c r="C491" s="70">
        <v>1.5</v>
      </c>
      <c r="D491" s="38">
        <v>40</v>
      </c>
      <c r="E491" s="35" t="s">
        <v>1732</v>
      </c>
      <c r="F491" s="34">
        <f>IFERROR(_xlfn.XLOOKUP(E491,Index!$A:$A,Index!$B:$B),"")</f>
        <v>9</v>
      </c>
      <c r="L491" s="238"/>
    </row>
    <row r="492" spans="1:12" x14ac:dyDescent="0.2">
      <c r="A492" s="26"/>
      <c r="B492" s="26"/>
      <c r="C492" s="64">
        <v>2</v>
      </c>
      <c r="D492" s="116">
        <v>50</v>
      </c>
      <c r="E492" s="35" t="s">
        <v>1787</v>
      </c>
      <c r="F492" s="34">
        <f>IFERROR(_xlfn.XLOOKUP(E492,Index!$A:$A,Index!$B:$B),"")</f>
        <v>11.25</v>
      </c>
      <c r="L492" s="238"/>
    </row>
    <row r="493" spans="1:12" x14ac:dyDescent="0.2">
      <c r="A493" s="26"/>
      <c r="B493" s="26"/>
      <c r="C493" s="64">
        <v>2.5</v>
      </c>
      <c r="D493" s="116">
        <v>65</v>
      </c>
      <c r="E493" s="35" t="s">
        <v>420</v>
      </c>
      <c r="F493" s="34">
        <f>IFERROR(_xlfn.XLOOKUP(E493,Index!$A:$A,Index!$B:$B),"")</f>
        <v>12.25</v>
      </c>
      <c r="L493" s="238"/>
    </row>
    <row r="494" spans="1:12" x14ac:dyDescent="0.2">
      <c r="A494" s="26"/>
      <c r="B494" s="26"/>
      <c r="C494" s="64">
        <v>3</v>
      </c>
      <c r="D494" s="116">
        <v>80</v>
      </c>
      <c r="E494" s="35" t="s">
        <v>1597</v>
      </c>
      <c r="F494" s="34">
        <f>IFERROR(_xlfn.XLOOKUP(E494,Index!$A:$A,Index!$B:$B),"")</f>
        <v>12.5</v>
      </c>
      <c r="L494" s="238"/>
    </row>
    <row r="495" spans="1:12" x14ac:dyDescent="0.2">
      <c r="A495" s="26"/>
      <c r="B495" s="26"/>
      <c r="C495" s="64">
        <v>4</v>
      </c>
      <c r="D495" s="116">
        <v>100</v>
      </c>
      <c r="E495" s="35" t="s">
        <v>1598</v>
      </c>
      <c r="F495" s="34">
        <f>IFERROR(_xlfn.XLOOKUP(E495,Index!$A:$A,Index!$B:$B),"")</f>
        <v>15</v>
      </c>
      <c r="L495" s="238"/>
    </row>
    <row r="496" spans="1:12" x14ac:dyDescent="0.2">
      <c r="A496" s="26"/>
      <c r="B496" s="26"/>
      <c r="C496" s="64">
        <v>6</v>
      </c>
      <c r="D496" s="116">
        <v>150</v>
      </c>
      <c r="E496" s="35" t="s">
        <v>1600</v>
      </c>
      <c r="F496" s="34">
        <f>IFERROR(_xlfn.XLOOKUP(E496,Index!$A:$A,Index!$B:$B),"")</f>
        <v>18.75</v>
      </c>
      <c r="L496" s="238"/>
    </row>
    <row r="497" spans="1:12" x14ac:dyDescent="0.2">
      <c r="A497" s="26"/>
      <c r="B497" s="26"/>
      <c r="C497" s="64">
        <v>8</v>
      </c>
      <c r="D497" s="116">
        <v>200</v>
      </c>
      <c r="E497" s="35" t="s">
        <v>1601</v>
      </c>
      <c r="F497" s="34">
        <f>IFERROR(_xlfn.XLOOKUP(E497,Index!$A:$A,Index!$B:$B),"")</f>
        <v>18.75</v>
      </c>
      <c r="L497" s="238"/>
    </row>
    <row r="498" spans="1:12" x14ac:dyDescent="0.2">
      <c r="A498" s="26"/>
      <c r="B498" s="26"/>
      <c r="C498" s="64">
        <v>10</v>
      </c>
      <c r="D498" s="116">
        <v>250</v>
      </c>
      <c r="E498" s="35" t="s">
        <v>1602</v>
      </c>
      <c r="F498" s="34">
        <f>IFERROR(_xlfn.XLOOKUP(E498,Index!$A:$A,Index!$B:$B),"")</f>
        <v>26.75</v>
      </c>
      <c r="L498" s="238"/>
    </row>
    <row r="499" spans="1:12" x14ac:dyDescent="0.2">
      <c r="A499" s="26"/>
      <c r="B499" s="215" t="s">
        <v>1673</v>
      </c>
      <c r="C499" s="64">
        <v>12</v>
      </c>
      <c r="D499" s="116">
        <v>300</v>
      </c>
      <c r="E499" s="35" t="s">
        <v>1015</v>
      </c>
      <c r="F499" s="34">
        <f>IFERROR(_xlfn.XLOOKUP(E499,Index!$A:$A,Index!$B:$B),"")</f>
        <v>48.75</v>
      </c>
      <c r="L499" s="238"/>
    </row>
    <row r="500" spans="1:12" x14ac:dyDescent="0.2">
      <c r="A500" s="26"/>
      <c r="B500" s="215" t="s">
        <v>1682</v>
      </c>
      <c r="C500" s="64">
        <v>12</v>
      </c>
      <c r="D500" s="116">
        <v>300</v>
      </c>
      <c r="E500" s="35" t="s">
        <v>1788</v>
      </c>
      <c r="F500" s="34">
        <f>IFERROR(_xlfn.XLOOKUP(E500,Index!$A:$A,Index!$B:$B),"")</f>
        <v>33.5</v>
      </c>
      <c r="L500" s="238"/>
    </row>
    <row r="501" spans="1:12" x14ac:dyDescent="0.2">
      <c r="A501" s="26"/>
      <c r="B501" s="60" t="s">
        <v>210</v>
      </c>
      <c r="C501" s="70">
        <v>1.5</v>
      </c>
      <c r="D501" s="38">
        <v>40</v>
      </c>
      <c r="E501" s="35" t="s">
        <v>1733</v>
      </c>
      <c r="F501" s="34">
        <f>IFERROR(_xlfn.XLOOKUP(E501,Index!$A:$A,Index!$B:$B),"")</f>
        <v>457.5</v>
      </c>
      <c r="L501" s="238"/>
    </row>
    <row r="502" spans="1:12" x14ac:dyDescent="0.2">
      <c r="A502" s="26"/>
      <c r="B502" s="26"/>
      <c r="C502" s="64">
        <v>2</v>
      </c>
      <c r="D502" s="116">
        <v>50</v>
      </c>
      <c r="E502" s="35" t="s">
        <v>1734</v>
      </c>
      <c r="F502" s="34">
        <f>IFERROR(_xlfn.XLOOKUP(E502,Index!$A:$A,Index!$B:$B),"")</f>
        <v>457.5</v>
      </c>
      <c r="L502" s="238"/>
    </row>
    <row r="503" spans="1:12" x14ac:dyDescent="0.2">
      <c r="A503" s="26"/>
      <c r="B503" s="26"/>
      <c r="C503" s="64">
        <v>2.5</v>
      </c>
      <c r="D503" s="116">
        <v>65</v>
      </c>
      <c r="E503" s="35" t="s">
        <v>1735</v>
      </c>
      <c r="F503" s="34">
        <f>IFERROR(_xlfn.XLOOKUP(E503,Index!$A:$A,Index!$B:$B),"")</f>
        <v>582</v>
      </c>
      <c r="L503" s="238"/>
    </row>
    <row r="504" spans="1:12" x14ac:dyDescent="0.2">
      <c r="A504" s="26"/>
      <c r="B504" s="26"/>
      <c r="C504" s="64">
        <v>3</v>
      </c>
      <c r="D504" s="116">
        <v>80</v>
      </c>
      <c r="E504" s="35" t="s">
        <v>1736</v>
      </c>
      <c r="F504" s="34">
        <f>IFERROR(_xlfn.XLOOKUP(E504,Index!$A:$A,Index!$B:$B),"")</f>
        <v>582</v>
      </c>
      <c r="L504" s="238"/>
    </row>
    <row r="505" spans="1:12" x14ac:dyDescent="0.2">
      <c r="A505" s="26"/>
      <c r="B505" s="26"/>
      <c r="C505" s="64">
        <v>4</v>
      </c>
      <c r="D505" s="116">
        <v>100</v>
      </c>
      <c r="E505" s="35" t="s">
        <v>1737</v>
      </c>
      <c r="F505" s="34">
        <f>IFERROR(_xlfn.XLOOKUP(E505,Index!$A:$A,Index!$B:$B),"")</f>
        <v>747.5</v>
      </c>
      <c r="L505" s="238"/>
    </row>
    <row r="506" spans="1:12" x14ac:dyDescent="0.2">
      <c r="A506" s="26"/>
      <c r="B506" s="60" t="s">
        <v>648</v>
      </c>
      <c r="C506" s="64">
        <v>6</v>
      </c>
      <c r="D506" s="116">
        <v>150</v>
      </c>
      <c r="E506" s="35" t="s">
        <v>1739</v>
      </c>
      <c r="F506" s="34">
        <f>IFERROR(_xlfn.XLOOKUP(E506,Index!$A:$A,Index!$B:$B),"")</f>
        <v>1953</v>
      </c>
      <c r="L506" s="238"/>
    </row>
    <row r="507" spans="1:12" x14ac:dyDescent="0.2">
      <c r="A507" s="26"/>
      <c r="B507" s="26"/>
      <c r="C507" s="64">
        <v>8</v>
      </c>
      <c r="D507" s="116">
        <v>200</v>
      </c>
      <c r="E507" s="35" t="s">
        <v>1740</v>
      </c>
      <c r="F507" s="34">
        <f>IFERROR(_xlfn.XLOOKUP(E507,Index!$A:$A,Index!$B:$B),"")</f>
        <v>2325</v>
      </c>
      <c r="L507" s="238"/>
    </row>
    <row r="508" spans="1:12" x14ac:dyDescent="0.2">
      <c r="A508" s="26"/>
      <c r="B508" s="26"/>
      <c r="C508" s="64">
        <v>10</v>
      </c>
      <c r="D508" s="116">
        <v>250</v>
      </c>
      <c r="E508" s="35" t="s">
        <v>1741</v>
      </c>
      <c r="F508" s="34">
        <f>IFERROR(_xlfn.XLOOKUP(E508,Index!$A:$A,Index!$B:$B),"")</f>
        <v>2658</v>
      </c>
      <c r="L508" s="238"/>
    </row>
    <row r="509" spans="1:12" x14ac:dyDescent="0.2">
      <c r="A509" s="26"/>
      <c r="B509" s="26"/>
      <c r="C509" s="64">
        <v>12</v>
      </c>
      <c r="D509" s="116">
        <v>300</v>
      </c>
      <c r="E509" s="35" t="s">
        <v>1742</v>
      </c>
      <c r="F509" s="34">
        <f>IFERROR(_xlfn.XLOOKUP(E509,Index!$A:$A,Index!$B:$B),"")</f>
        <v>2989</v>
      </c>
      <c r="L509" s="238"/>
    </row>
    <row r="510" spans="1:12" x14ac:dyDescent="0.2">
      <c r="A510" s="26"/>
      <c r="B510" s="60" t="s">
        <v>122</v>
      </c>
      <c r="C510" s="70">
        <v>1.5</v>
      </c>
      <c r="D510" s="38">
        <v>40</v>
      </c>
      <c r="E510" s="35" t="s">
        <v>1743</v>
      </c>
      <c r="F510" s="34">
        <f>IFERROR(_xlfn.XLOOKUP(E510,Index!$A:$A,Index!$B:$B),"")</f>
        <v>541</v>
      </c>
      <c r="L510" s="238"/>
    </row>
    <row r="511" spans="1:12" x14ac:dyDescent="0.2">
      <c r="A511" s="26"/>
      <c r="B511" s="26"/>
      <c r="C511" s="64">
        <v>2</v>
      </c>
      <c r="D511" s="116">
        <v>50</v>
      </c>
      <c r="E511" s="35" t="s">
        <v>1744</v>
      </c>
      <c r="F511" s="34">
        <f>IFERROR(_xlfn.XLOOKUP(E511,Index!$A:$A,Index!$B:$B),"")</f>
        <v>541</v>
      </c>
      <c r="L511" s="238"/>
    </row>
    <row r="512" spans="1:12" x14ac:dyDescent="0.2">
      <c r="A512" s="26"/>
      <c r="B512" s="26"/>
      <c r="C512" s="64">
        <v>2.5</v>
      </c>
      <c r="D512" s="116">
        <v>65</v>
      </c>
      <c r="E512" s="38" t="s">
        <v>5542</v>
      </c>
      <c r="F512" s="250">
        <f>F513</f>
        <v>996.5</v>
      </c>
      <c r="L512" s="238"/>
    </row>
    <row r="513" spans="1:12" x14ac:dyDescent="0.2">
      <c r="A513" s="26"/>
      <c r="B513" s="26"/>
      <c r="C513" s="64">
        <v>3</v>
      </c>
      <c r="D513" s="116">
        <v>80</v>
      </c>
      <c r="E513" s="35" t="s">
        <v>1745</v>
      </c>
      <c r="F513" s="34">
        <f>IFERROR(_xlfn.XLOOKUP(E513,Index!$A:$A,Index!$B:$B),"")</f>
        <v>996.5</v>
      </c>
      <c r="L513" s="238"/>
    </row>
    <row r="514" spans="1:12" x14ac:dyDescent="0.2">
      <c r="A514" s="26"/>
      <c r="B514" s="26"/>
      <c r="C514" s="64">
        <v>4</v>
      </c>
      <c r="D514" s="116">
        <v>100</v>
      </c>
      <c r="E514" s="35" t="s">
        <v>1746</v>
      </c>
      <c r="F514" s="34">
        <f>IFERROR(_xlfn.XLOOKUP(E514,Index!$A:$A,Index!$B:$B),"")</f>
        <v>1080</v>
      </c>
      <c r="L514" s="238"/>
    </row>
    <row r="515" spans="1:12" x14ac:dyDescent="0.2">
      <c r="A515" s="26"/>
      <c r="B515" s="26"/>
      <c r="C515" s="64">
        <v>6</v>
      </c>
      <c r="D515" s="116">
        <v>150</v>
      </c>
      <c r="E515" s="35" t="s">
        <v>1747</v>
      </c>
      <c r="F515" s="34">
        <f>IFERROR(_xlfn.XLOOKUP(E515,Index!$A:$A,Index!$B:$B),"")</f>
        <v>2658</v>
      </c>
      <c r="L515" s="238"/>
    </row>
    <row r="516" spans="1:12" x14ac:dyDescent="0.2">
      <c r="A516" s="26"/>
      <c r="B516" s="26"/>
      <c r="C516" s="64">
        <v>8</v>
      </c>
      <c r="D516" s="116">
        <v>200</v>
      </c>
      <c r="E516" s="35" t="s">
        <v>1748</v>
      </c>
      <c r="F516" s="34">
        <f>IFERROR(_xlfn.XLOOKUP(E516,Index!$A:$A,Index!$B:$B),"")</f>
        <v>2908</v>
      </c>
      <c r="L516" s="238"/>
    </row>
    <row r="517" spans="1:12" x14ac:dyDescent="0.2">
      <c r="A517" s="26"/>
      <c r="B517" s="26"/>
      <c r="C517" s="64">
        <v>10</v>
      </c>
      <c r="D517" s="116">
        <v>250</v>
      </c>
      <c r="E517" s="35" t="s">
        <v>1749</v>
      </c>
      <c r="F517" s="34">
        <f>IFERROR(_xlfn.XLOOKUP(E517,Index!$A:$A,Index!$B:$B),"")</f>
        <v>3239</v>
      </c>
      <c r="L517" s="238"/>
    </row>
    <row r="518" spans="1:12" x14ac:dyDescent="0.2">
      <c r="A518" s="26"/>
      <c r="B518" s="26"/>
      <c r="C518" s="185">
        <v>12</v>
      </c>
      <c r="D518" s="225">
        <v>300</v>
      </c>
      <c r="E518" s="89" t="s">
        <v>1750</v>
      </c>
      <c r="F518" s="34">
        <f>IFERROR(_xlfn.XLOOKUP(E518,Index!$A:$A,Index!$B:$B),"")</f>
        <v>4734</v>
      </c>
      <c r="L518" s="238"/>
    </row>
    <row r="519" spans="1:12" x14ac:dyDescent="0.2">
      <c r="A519" s="26"/>
      <c r="B519" s="60" t="s">
        <v>134</v>
      </c>
      <c r="C519" s="70">
        <v>1.5</v>
      </c>
      <c r="D519" s="38">
        <v>40</v>
      </c>
      <c r="E519" s="38" t="s">
        <v>5542</v>
      </c>
      <c r="F519" s="250">
        <f>F520</f>
        <v>541</v>
      </c>
      <c r="L519" s="238"/>
    </row>
    <row r="520" spans="1:12" x14ac:dyDescent="0.2">
      <c r="A520" s="26"/>
      <c r="B520" s="26"/>
      <c r="C520" s="64">
        <v>2</v>
      </c>
      <c r="D520" s="116">
        <v>50</v>
      </c>
      <c r="E520" s="35" t="s">
        <v>1751</v>
      </c>
      <c r="F520" s="34">
        <f>IFERROR(_xlfn.XLOOKUP(E520,Index!$A:$A,Index!$B:$B),"")</f>
        <v>541</v>
      </c>
      <c r="L520" s="238"/>
    </row>
    <row r="521" spans="1:12" x14ac:dyDescent="0.2">
      <c r="A521" s="26"/>
      <c r="B521" s="26"/>
      <c r="C521" s="64">
        <v>2.5</v>
      </c>
      <c r="D521" s="116">
        <v>65</v>
      </c>
      <c r="E521" s="38" t="s">
        <v>5542</v>
      </c>
      <c r="F521" s="250">
        <f>F522</f>
        <v>996.5</v>
      </c>
      <c r="L521" s="238"/>
    </row>
    <row r="522" spans="1:12" x14ac:dyDescent="0.2">
      <c r="A522" s="26"/>
      <c r="B522" s="26"/>
      <c r="C522" s="64">
        <v>3</v>
      </c>
      <c r="D522" s="116">
        <v>80</v>
      </c>
      <c r="E522" s="35" t="s">
        <v>1752</v>
      </c>
      <c r="F522" s="34">
        <f>IFERROR(_xlfn.XLOOKUP(E522,Index!$A:$A,Index!$B:$B),"")</f>
        <v>996.5</v>
      </c>
      <c r="L522" s="238"/>
    </row>
    <row r="523" spans="1:12" x14ac:dyDescent="0.2">
      <c r="A523" s="26"/>
      <c r="B523" s="26"/>
      <c r="C523" s="64">
        <v>4</v>
      </c>
      <c r="D523" s="116">
        <v>100</v>
      </c>
      <c r="E523" s="38" t="s">
        <v>5542</v>
      </c>
      <c r="F523" s="250">
        <f>F514</f>
        <v>1080</v>
      </c>
      <c r="L523" s="238"/>
    </row>
    <row r="524" spans="1:12" x14ac:dyDescent="0.2">
      <c r="A524" s="26"/>
      <c r="B524" s="26"/>
      <c r="C524" s="64">
        <v>6</v>
      </c>
      <c r="D524" s="116">
        <v>150</v>
      </c>
      <c r="E524" s="35" t="s">
        <v>1753</v>
      </c>
      <c r="F524" s="34">
        <f>IFERROR(_xlfn.XLOOKUP(E524,Index!$A:$A,Index!$B:$B),"")</f>
        <v>2658</v>
      </c>
      <c r="L524" s="238"/>
    </row>
    <row r="525" spans="1:12" x14ac:dyDescent="0.2">
      <c r="A525" s="26"/>
      <c r="B525" s="26"/>
      <c r="C525" s="64">
        <v>8</v>
      </c>
      <c r="D525" s="116">
        <v>200</v>
      </c>
      <c r="E525" s="35" t="s">
        <v>1754</v>
      </c>
      <c r="F525" s="34">
        <f>IFERROR(_xlfn.XLOOKUP(E525,Index!$A:$A,Index!$B:$B),"")</f>
        <v>2908</v>
      </c>
      <c r="L525" s="238"/>
    </row>
    <row r="526" spans="1:12" x14ac:dyDescent="0.2">
      <c r="A526" s="26"/>
      <c r="B526" s="26"/>
      <c r="C526" s="64">
        <v>10</v>
      </c>
      <c r="D526" s="116">
        <v>250</v>
      </c>
      <c r="E526" s="35" t="s">
        <v>1755</v>
      </c>
      <c r="F526" s="34">
        <f>IFERROR(_xlfn.XLOOKUP(E526,Index!$A:$A,Index!$B:$B),"")</f>
        <v>3239</v>
      </c>
      <c r="L526" s="238"/>
    </row>
    <row r="527" spans="1:12" x14ac:dyDescent="0.2">
      <c r="A527" s="26"/>
      <c r="B527" s="27"/>
      <c r="C527" s="64">
        <v>12</v>
      </c>
      <c r="D527" s="116">
        <v>300</v>
      </c>
      <c r="E527" s="35" t="s">
        <v>1756</v>
      </c>
      <c r="F527" s="34">
        <f>IFERROR(_xlfn.XLOOKUP(E527,Index!$A:$A,Index!$B:$B),"")</f>
        <v>4734</v>
      </c>
      <c r="L527" s="238"/>
    </row>
    <row r="528" spans="1:12" x14ac:dyDescent="0.2">
      <c r="A528" s="26"/>
      <c r="B528" s="60" t="s">
        <v>145</v>
      </c>
      <c r="C528" s="70">
        <v>1.5</v>
      </c>
      <c r="D528" s="38">
        <v>40</v>
      </c>
      <c r="E528" s="38" t="s">
        <v>5542</v>
      </c>
      <c r="F528" s="250">
        <f>F519</f>
        <v>541</v>
      </c>
      <c r="L528" s="238"/>
    </row>
    <row r="529" spans="1:12" x14ac:dyDescent="0.2">
      <c r="A529" s="26"/>
      <c r="B529" s="26"/>
      <c r="C529" s="64">
        <v>2</v>
      </c>
      <c r="D529" s="116">
        <v>50</v>
      </c>
      <c r="E529" s="35" t="s">
        <v>1757</v>
      </c>
      <c r="F529" s="34">
        <f>IFERROR(_xlfn.XLOOKUP(E529,Index!$A:$A,Index!$B:$B),"")</f>
        <v>541</v>
      </c>
      <c r="L529" s="238"/>
    </row>
    <row r="530" spans="1:12" x14ac:dyDescent="0.2">
      <c r="A530" s="26"/>
      <c r="B530" s="26"/>
      <c r="C530" s="64">
        <v>2.5</v>
      </c>
      <c r="D530" s="116">
        <v>65</v>
      </c>
      <c r="E530" s="38" t="s">
        <v>5542</v>
      </c>
      <c r="F530" s="250">
        <f>F522</f>
        <v>996.5</v>
      </c>
      <c r="L530" s="238"/>
    </row>
    <row r="531" spans="1:12" x14ac:dyDescent="0.2">
      <c r="A531" s="26"/>
      <c r="B531" s="26"/>
      <c r="C531" s="64">
        <v>3</v>
      </c>
      <c r="D531" s="116">
        <v>80</v>
      </c>
      <c r="E531" s="35" t="s">
        <v>1758</v>
      </c>
      <c r="F531" s="34">
        <f>IFERROR(_xlfn.XLOOKUP(E531,Index!$A:$A,Index!$B:$B),"")</f>
        <v>996.5</v>
      </c>
      <c r="L531" s="238"/>
    </row>
    <row r="532" spans="1:12" x14ac:dyDescent="0.2">
      <c r="A532" s="26"/>
      <c r="B532" s="26"/>
      <c r="C532" s="64">
        <v>4</v>
      </c>
      <c r="D532" s="116">
        <v>100</v>
      </c>
      <c r="E532" s="35" t="s">
        <v>1759</v>
      </c>
      <c r="F532" s="34">
        <f>IFERROR(_xlfn.XLOOKUP(E532,Index!$A:$A,Index!$B:$B),"")</f>
        <v>1080</v>
      </c>
      <c r="L532" s="238"/>
    </row>
    <row r="533" spans="1:12" x14ac:dyDescent="0.2">
      <c r="A533" s="26"/>
      <c r="B533" s="26"/>
      <c r="C533" s="64">
        <v>6</v>
      </c>
      <c r="D533" s="116">
        <v>150</v>
      </c>
      <c r="E533" s="35" t="s">
        <v>1760</v>
      </c>
      <c r="F533" s="34">
        <f>IFERROR(_xlfn.XLOOKUP(E533,Index!$A:$A,Index!$B:$B),"")</f>
        <v>2658</v>
      </c>
      <c r="L533" s="238"/>
    </row>
    <row r="534" spans="1:12" x14ac:dyDescent="0.2">
      <c r="A534" s="26"/>
      <c r="B534" s="26"/>
      <c r="C534" s="64">
        <v>8</v>
      </c>
      <c r="D534" s="116">
        <v>200</v>
      </c>
      <c r="E534" s="35" t="s">
        <v>1761</v>
      </c>
      <c r="F534" s="34">
        <f>IFERROR(_xlfn.XLOOKUP(E534,Index!$A:$A,Index!$B:$B),"")</f>
        <v>2908</v>
      </c>
      <c r="L534" s="238"/>
    </row>
    <row r="535" spans="1:12" x14ac:dyDescent="0.2">
      <c r="A535" s="26"/>
      <c r="B535" s="26"/>
      <c r="C535" s="64">
        <v>10</v>
      </c>
      <c r="D535" s="116">
        <v>250</v>
      </c>
      <c r="E535" s="38" t="s">
        <v>5542</v>
      </c>
      <c r="F535" s="250">
        <f t="shared" ref="F535:F536" si="2">F526</f>
        <v>3239</v>
      </c>
      <c r="L535" s="238"/>
    </row>
    <row r="536" spans="1:12" x14ac:dyDescent="0.2">
      <c r="A536" s="26"/>
      <c r="B536" s="27"/>
      <c r="C536" s="64">
        <v>12</v>
      </c>
      <c r="D536" s="116">
        <v>300</v>
      </c>
      <c r="E536" s="38" t="s">
        <v>5542</v>
      </c>
      <c r="F536" s="251">
        <f t="shared" si="2"/>
        <v>4734</v>
      </c>
      <c r="L536" s="238"/>
    </row>
    <row r="537" spans="1:12" x14ac:dyDescent="0.2">
      <c r="A537" s="26"/>
      <c r="B537" s="60" t="s">
        <v>155</v>
      </c>
      <c r="C537" s="70">
        <v>1.5</v>
      </c>
      <c r="D537" s="38">
        <v>40</v>
      </c>
      <c r="E537" s="35" t="s">
        <v>1762</v>
      </c>
      <c r="F537" s="34">
        <f>IFERROR(_xlfn.XLOOKUP(E537,Index!$A:$A,Index!$B:$B),"")</f>
        <v>541</v>
      </c>
      <c r="L537" s="238"/>
    </row>
    <row r="538" spans="1:12" x14ac:dyDescent="0.2">
      <c r="A538" s="26"/>
      <c r="B538" s="26"/>
      <c r="C538" s="64">
        <v>2</v>
      </c>
      <c r="D538" s="116">
        <v>50</v>
      </c>
      <c r="E538" s="35" t="s">
        <v>1763</v>
      </c>
      <c r="F538" s="34">
        <f>IFERROR(_xlfn.XLOOKUP(E538,Index!$A:$A,Index!$B:$B),"")</f>
        <v>541</v>
      </c>
      <c r="L538" s="238"/>
    </row>
    <row r="539" spans="1:12" x14ac:dyDescent="0.2">
      <c r="A539" s="26"/>
      <c r="B539" s="26"/>
      <c r="C539" s="64">
        <v>2.5</v>
      </c>
      <c r="D539" s="116">
        <v>65</v>
      </c>
      <c r="E539" s="35" t="s">
        <v>1764</v>
      </c>
      <c r="F539" s="34">
        <f>IFERROR(_xlfn.XLOOKUP(E539,Index!$A:$A,Index!$B:$B),"")</f>
        <v>996.5</v>
      </c>
      <c r="L539" s="238"/>
    </row>
    <row r="540" spans="1:12" x14ac:dyDescent="0.2">
      <c r="A540" s="26"/>
      <c r="B540" s="26"/>
      <c r="C540" s="64">
        <v>3</v>
      </c>
      <c r="D540" s="116">
        <v>80</v>
      </c>
      <c r="E540" s="35" t="s">
        <v>1765</v>
      </c>
      <c r="F540" s="34">
        <f>IFERROR(_xlfn.XLOOKUP(E540,Index!$A:$A,Index!$B:$B),"")</f>
        <v>996.5</v>
      </c>
      <c r="L540" s="238"/>
    </row>
    <row r="541" spans="1:12" x14ac:dyDescent="0.2">
      <c r="A541" s="26"/>
      <c r="B541" s="26"/>
      <c r="C541" s="64">
        <v>4</v>
      </c>
      <c r="D541" s="116">
        <v>100</v>
      </c>
      <c r="E541" s="38" t="s">
        <v>5542</v>
      </c>
      <c r="F541" s="250">
        <f>F532</f>
        <v>1080</v>
      </c>
      <c r="L541" s="238"/>
    </row>
    <row r="542" spans="1:12" x14ac:dyDescent="0.2">
      <c r="A542" s="26"/>
      <c r="B542" s="26"/>
      <c r="C542" s="64">
        <v>6</v>
      </c>
      <c r="D542" s="116">
        <v>150</v>
      </c>
      <c r="E542" s="35" t="s">
        <v>1766</v>
      </c>
      <c r="F542" s="34">
        <f>IFERROR(_xlfn.XLOOKUP(E542,Index!$A:$A,Index!$B:$B),"")</f>
        <v>2658</v>
      </c>
      <c r="L542" s="238"/>
    </row>
    <row r="543" spans="1:12" x14ac:dyDescent="0.2">
      <c r="A543" s="26"/>
      <c r="B543" s="26"/>
      <c r="C543" s="64">
        <v>8</v>
      </c>
      <c r="D543" s="116">
        <v>200</v>
      </c>
      <c r="E543" s="35" t="s">
        <v>1767</v>
      </c>
      <c r="F543" s="34">
        <f>IFERROR(_xlfn.XLOOKUP(E543,Index!$A:$A,Index!$B:$B),"")</f>
        <v>2908</v>
      </c>
      <c r="L543" s="238"/>
    </row>
    <row r="544" spans="1:12" x14ac:dyDescent="0.2">
      <c r="A544" s="26"/>
      <c r="B544" s="26"/>
      <c r="C544" s="64">
        <v>10</v>
      </c>
      <c r="D544" s="116">
        <v>250</v>
      </c>
      <c r="E544" s="38" t="s">
        <v>5542</v>
      </c>
      <c r="F544" s="250">
        <f>F535</f>
        <v>3239</v>
      </c>
      <c r="L544" s="238"/>
    </row>
    <row r="545" spans="1:12" x14ac:dyDescent="0.2">
      <c r="A545" s="27"/>
      <c r="B545" s="27"/>
      <c r="C545" s="64">
        <v>12</v>
      </c>
      <c r="D545" s="116">
        <v>300</v>
      </c>
      <c r="E545" s="35" t="s">
        <v>1768</v>
      </c>
      <c r="F545" s="34">
        <f>IFERROR(_xlfn.XLOOKUP(E545,Index!$A:$A,Index!$B:$B),"")</f>
        <v>4734</v>
      </c>
      <c r="L545" s="238"/>
    </row>
    <row r="546" spans="1:12" x14ac:dyDescent="0.2">
      <c r="L546" s="238"/>
    </row>
    <row r="547" spans="1:12" x14ac:dyDescent="0.2">
      <c r="L547" s="238"/>
    </row>
    <row r="548" spans="1:12" x14ac:dyDescent="0.2">
      <c r="L548" s="238"/>
    </row>
    <row r="549" spans="1:12" x14ac:dyDescent="0.2">
      <c r="L549" s="238"/>
    </row>
    <row r="550" spans="1:12" x14ac:dyDescent="0.2">
      <c r="L550" s="238"/>
    </row>
    <row r="551" spans="1:12" x14ac:dyDescent="0.2">
      <c r="L551" s="238"/>
    </row>
    <row r="552" spans="1:12" x14ac:dyDescent="0.2">
      <c r="L552" s="238"/>
    </row>
    <row r="553" spans="1:12" x14ac:dyDescent="0.2">
      <c r="L553" s="238"/>
    </row>
    <row r="554" spans="1:12" x14ac:dyDescent="0.2">
      <c r="L554" s="238"/>
    </row>
    <row r="555" spans="1:12" x14ac:dyDescent="0.2">
      <c r="L555" s="238"/>
    </row>
    <row r="556" spans="1:12" x14ac:dyDescent="0.2">
      <c r="L556" s="238"/>
    </row>
    <row r="557" spans="1:12" x14ac:dyDescent="0.2">
      <c r="L557" s="238"/>
    </row>
    <row r="558" spans="1:12" x14ac:dyDescent="0.2">
      <c r="L558" s="238"/>
    </row>
    <row r="559" spans="1:12" x14ac:dyDescent="0.2">
      <c r="L559" s="238"/>
    </row>
    <row r="560" spans="1:12" x14ac:dyDescent="0.2">
      <c r="L560" s="238"/>
    </row>
    <row r="561" spans="12:12" x14ac:dyDescent="0.2">
      <c r="L561" s="238"/>
    </row>
    <row r="562" spans="12:12" x14ac:dyDescent="0.2">
      <c r="L562" s="238"/>
    </row>
    <row r="563" spans="12:12" x14ac:dyDescent="0.2">
      <c r="L563" s="238"/>
    </row>
    <row r="564" spans="12:12" x14ac:dyDescent="0.2">
      <c r="L564" s="238"/>
    </row>
    <row r="565" spans="12:12" x14ac:dyDescent="0.2">
      <c r="L565" s="238"/>
    </row>
    <row r="566" spans="12:12" x14ac:dyDescent="0.2">
      <c r="L566" s="238"/>
    </row>
    <row r="567" spans="12:12" x14ac:dyDescent="0.2">
      <c r="L567" s="238"/>
    </row>
    <row r="568" spans="12:12" x14ac:dyDescent="0.2">
      <c r="L568" s="238"/>
    </row>
    <row r="569" spans="12:12" x14ac:dyDescent="0.2">
      <c r="L569" s="238"/>
    </row>
    <row r="570" spans="12:12" x14ac:dyDescent="0.2">
      <c r="L570" s="238"/>
    </row>
    <row r="571" spans="12:12" x14ac:dyDescent="0.2">
      <c r="L571" s="238"/>
    </row>
    <row r="572" spans="12:12" x14ac:dyDescent="0.2">
      <c r="L572" s="238"/>
    </row>
    <row r="573" spans="12:12" x14ac:dyDescent="0.2">
      <c r="L573" s="238"/>
    </row>
    <row r="574" spans="12:12" x14ac:dyDescent="0.2">
      <c r="L574" s="238"/>
    </row>
    <row r="575" spans="12:12" x14ac:dyDescent="0.2">
      <c r="L575" s="238"/>
    </row>
    <row r="576" spans="12:12" x14ac:dyDescent="0.2">
      <c r="L576" s="238"/>
    </row>
    <row r="577" spans="12:12" x14ac:dyDescent="0.2">
      <c r="L577" s="238"/>
    </row>
    <row r="578" spans="12:12" x14ac:dyDescent="0.2">
      <c r="L578" s="238"/>
    </row>
    <row r="579" spans="12:12" x14ac:dyDescent="0.2">
      <c r="L579" s="238"/>
    </row>
    <row r="580" spans="12:12" x14ac:dyDescent="0.2">
      <c r="L580" s="238"/>
    </row>
    <row r="581" spans="12:12" x14ac:dyDescent="0.2">
      <c r="L581" s="238"/>
    </row>
  </sheetData>
  <mergeCells count="21">
    <mergeCell ref="G243:H243"/>
    <mergeCell ref="E243:F243"/>
    <mergeCell ref="C243:D243"/>
    <mergeCell ref="G4:H4"/>
    <mergeCell ref="E4:F4"/>
    <mergeCell ref="C4:D4"/>
    <mergeCell ref="C34:D34"/>
    <mergeCell ref="C148:D148"/>
    <mergeCell ref="G112:H112"/>
    <mergeCell ref="E112:F112"/>
    <mergeCell ref="C112:D112"/>
    <mergeCell ref="C385:D385"/>
    <mergeCell ref="C387:D387"/>
    <mergeCell ref="C259:D259"/>
    <mergeCell ref="C489:D489"/>
    <mergeCell ref="G455:H455"/>
    <mergeCell ref="E455:F455"/>
    <mergeCell ref="C455:D455"/>
    <mergeCell ref="C371:D371"/>
    <mergeCell ref="E371:F371"/>
    <mergeCell ref="G371:H371"/>
  </mergeCells>
  <conditionalFormatting sqref="D35 F241:F242 F244:F253 F336:F366 D520:D527 D529:D536 D538:D545">
    <cfRule type="expression" dxfId="809" priority="286">
      <formula>D35="Not a valid item #"</formula>
    </cfRule>
    <cfRule type="expression" dxfId="808" priority="287">
      <formula>D35="Not in NPSLS"</formula>
    </cfRule>
    <cfRule type="expression" dxfId="807" priority="288">
      <formula>D35="Obsolete"</formula>
    </cfRule>
    <cfRule type="expression" dxfId="806" priority="289">
      <formula>D35=""</formula>
    </cfRule>
    <cfRule type="expression" dxfId="805" priority="290">
      <formula>D35="List Price"</formula>
    </cfRule>
  </conditionalFormatting>
  <conditionalFormatting sqref="D37:D43 D45:D51">
    <cfRule type="expression" dxfId="804" priority="281">
      <formula>D37="Not a valid item #"</formula>
    </cfRule>
    <cfRule type="expression" dxfId="803" priority="282">
      <formula>D37="Not in NPSLS"</formula>
    </cfRule>
    <cfRule type="expression" dxfId="802" priority="283">
      <formula>D37="Obsolete"</formula>
    </cfRule>
    <cfRule type="expression" dxfId="801" priority="284">
      <formula>D37=""</formula>
    </cfRule>
    <cfRule type="expression" dxfId="800" priority="285">
      <formula>D37="List Price"</formula>
    </cfRule>
  </conditionalFormatting>
  <conditionalFormatting sqref="D101:D107">
    <cfRule type="expression" dxfId="799" priority="16">
      <formula>D101="Not a valid item #"</formula>
    </cfRule>
    <cfRule type="expression" dxfId="798" priority="17">
      <formula>D101="Not in NPSLS"</formula>
    </cfRule>
    <cfRule type="expression" dxfId="797" priority="18">
      <formula>D101="Obsolete"</formula>
    </cfRule>
    <cfRule type="expression" dxfId="796" priority="19">
      <formula>D101=""</formula>
    </cfRule>
    <cfRule type="expression" dxfId="795" priority="20">
      <formula>D101="List Price"</formula>
    </cfRule>
  </conditionalFormatting>
  <conditionalFormatting sqref="D149">
    <cfRule type="expression" dxfId="794" priority="206">
      <formula>D149="Not a valid item #"</formula>
    </cfRule>
    <cfRule type="expression" dxfId="793" priority="207">
      <formula>D149="Not in NPSLS"</formula>
    </cfRule>
    <cfRule type="expression" dxfId="792" priority="208">
      <formula>D149="Obsolete"</formula>
    </cfRule>
    <cfRule type="expression" dxfId="791" priority="209">
      <formula>D149=""</formula>
    </cfRule>
    <cfRule type="expression" dxfId="790" priority="210">
      <formula>D149="List Price"</formula>
    </cfRule>
  </conditionalFormatting>
  <conditionalFormatting sqref="D151:D159 D161:D170">
    <cfRule type="expression" dxfId="789" priority="201">
      <formula>D151="Not a valid item #"</formula>
    </cfRule>
    <cfRule type="expression" dxfId="788" priority="202">
      <formula>D151="Not in NPSLS"</formula>
    </cfRule>
    <cfRule type="expression" dxfId="787" priority="203">
      <formula>D151="Obsolete"</formula>
    </cfRule>
    <cfRule type="expression" dxfId="786" priority="204">
      <formula>D151=""</formula>
    </cfRule>
    <cfRule type="expression" dxfId="785" priority="205">
      <formula>D151="List Price"</formula>
    </cfRule>
  </conditionalFormatting>
  <conditionalFormatting sqref="D172:D180">
    <cfRule type="expression" dxfId="784" priority="166">
      <formula>D172="Not a valid item #"</formula>
    </cfRule>
    <cfRule type="expression" dxfId="783" priority="167">
      <formula>D172="Not in NPSLS"</formula>
    </cfRule>
    <cfRule type="expression" dxfId="782" priority="168">
      <formula>D172="Obsolete"</formula>
    </cfRule>
    <cfRule type="expression" dxfId="781" priority="169">
      <formula>D172=""</formula>
    </cfRule>
    <cfRule type="expression" dxfId="780" priority="170">
      <formula>D172="List Price"</formula>
    </cfRule>
  </conditionalFormatting>
  <conditionalFormatting sqref="D182:D190">
    <cfRule type="expression" dxfId="779" priority="36">
      <formula>D182="Not a valid item #"</formula>
    </cfRule>
    <cfRule type="expression" dxfId="778" priority="37">
      <formula>D182="Not in NPSLS"</formula>
    </cfRule>
    <cfRule type="expression" dxfId="777" priority="38">
      <formula>D182="Obsolete"</formula>
    </cfRule>
    <cfRule type="expression" dxfId="776" priority="39">
      <formula>D182=""</formula>
    </cfRule>
    <cfRule type="expression" dxfId="775" priority="40">
      <formula>D182="List Price"</formula>
    </cfRule>
  </conditionalFormatting>
  <conditionalFormatting sqref="D192:D200">
    <cfRule type="expression" dxfId="774" priority="151">
      <formula>D192="Not a valid item #"</formula>
    </cfRule>
    <cfRule type="expression" dxfId="773" priority="152">
      <formula>D192="Not in NPSLS"</formula>
    </cfRule>
    <cfRule type="expression" dxfId="772" priority="153">
      <formula>D192="Obsolete"</formula>
    </cfRule>
    <cfRule type="expression" dxfId="771" priority="154">
      <formula>D192=""</formula>
    </cfRule>
    <cfRule type="expression" dxfId="770" priority="155">
      <formula>D192="List Price"</formula>
    </cfRule>
  </conditionalFormatting>
  <conditionalFormatting sqref="D202:D210">
    <cfRule type="expression" dxfId="769" priority="146">
      <formula>D202="Not a valid item #"</formula>
    </cfRule>
    <cfRule type="expression" dxfId="768" priority="147">
      <formula>D202="Not in NPSLS"</formula>
    </cfRule>
    <cfRule type="expression" dxfId="767" priority="148">
      <formula>D202="Obsolete"</formula>
    </cfRule>
    <cfRule type="expression" dxfId="766" priority="149">
      <formula>D202=""</formula>
    </cfRule>
    <cfRule type="expression" dxfId="765" priority="150">
      <formula>D202="List Price"</formula>
    </cfRule>
  </conditionalFormatting>
  <conditionalFormatting sqref="D212:D220">
    <cfRule type="expression" dxfId="764" priority="141">
      <formula>D212="Not a valid item #"</formula>
    </cfRule>
    <cfRule type="expression" dxfId="763" priority="142">
      <formula>D212="Not in NPSLS"</formula>
    </cfRule>
    <cfRule type="expression" dxfId="762" priority="143">
      <formula>D212="Obsolete"</formula>
    </cfRule>
    <cfRule type="expression" dxfId="761" priority="144">
      <formula>D212=""</formula>
    </cfRule>
    <cfRule type="expression" dxfId="760" priority="145">
      <formula>D212="List Price"</formula>
    </cfRule>
  </conditionalFormatting>
  <conditionalFormatting sqref="D222:D230">
    <cfRule type="expression" dxfId="759" priority="136">
      <formula>D222="Not a valid item #"</formula>
    </cfRule>
    <cfRule type="expression" dxfId="758" priority="137">
      <formula>D222="Not in NPSLS"</formula>
    </cfRule>
    <cfRule type="expression" dxfId="757" priority="138">
      <formula>D222="Obsolete"</formula>
    </cfRule>
    <cfRule type="expression" dxfId="756" priority="139">
      <formula>D222=""</formula>
    </cfRule>
    <cfRule type="expression" dxfId="755" priority="140">
      <formula>D222="List Price"</formula>
    </cfRule>
  </conditionalFormatting>
  <conditionalFormatting sqref="D232:D238">
    <cfRule type="expression" dxfId="754" priority="21">
      <formula>D232="Not a valid item #"</formula>
    </cfRule>
    <cfRule type="expression" dxfId="753" priority="22">
      <formula>D232="Not in NPSLS"</formula>
    </cfRule>
    <cfRule type="expression" dxfId="752" priority="23">
      <formula>D232="Obsolete"</formula>
    </cfRule>
    <cfRule type="expression" dxfId="751" priority="24">
      <formula>D232=""</formula>
    </cfRule>
    <cfRule type="expression" dxfId="750" priority="25">
      <formula>D232="List Price"</formula>
    </cfRule>
  </conditionalFormatting>
  <conditionalFormatting sqref="D260">
    <cfRule type="expression" dxfId="749" priority="451">
      <formula>D260="Not a valid item #"</formula>
    </cfRule>
    <cfRule type="expression" dxfId="748" priority="452">
      <formula>D260="Not in NPSLS"</formula>
    </cfRule>
    <cfRule type="expression" dxfId="747" priority="453">
      <formula>D260="Obsolete"</formula>
    </cfRule>
    <cfRule type="expression" dxfId="746" priority="454">
      <formula>D260=""</formula>
    </cfRule>
    <cfRule type="expression" dxfId="745" priority="455">
      <formula>D260="List Price"</formula>
    </cfRule>
  </conditionalFormatting>
  <conditionalFormatting sqref="D262:D269 D271:D279">
    <cfRule type="expression" dxfId="744" priority="446">
      <formula>D262="Not a valid item #"</formula>
    </cfRule>
    <cfRule type="expression" dxfId="743" priority="447">
      <formula>D262="Not in NPSLS"</formula>
    </cfRule>
    <cfRule type="expression" dxfId="742" priority="448">
      <formula>D262="Obsolete"</formula>
    </cfRule>
    <cfRule type="expression" dxfId="741" priority="449">
      <formula>D262=""</formula>
    </cfRule>
    <cfRule type="expression" dxfId="740" priority="450">
      <formula>D262="List Price"</formula>
    </cfRule>
  </conditionalFormatting>
  <conditionalFormatting sqref="D281:D288">
    <cfRule type="expression" dxfId="739" priority="411">
      <formula>D281="Not a valid item #"</formula>
    </cfRule>
    <cfRule type="expression" dxfId="738" priority="412">
      <formula>D281="Not in NPSLS"</formula>
    </cfRule>
    <cfRule type="expression" dxfId="737" priority="413">
      <formula>D281="Obsolete"</formula>
    </cfRule>
    <cfRule type="expression" dxfId="736" priority="414">
      <formula>D281=""</formula>
    </cfRule>
    <cfRule type="expression" dxfId="735" priority="415">
      <formula>D281="List Price"</formula>
    </cfRule>
  </conditionalFormatting>
  <conditionalFormatting sqref="D290:D297">
    <cfRule type="expression" dxfId="734" priority="31">
      <formula>D290="Not a valid item #"</formula>
    </cfRule>
    <cfRule type="expression" dxfId="733" priority="32">
      <formula>D290="Not in NPSLS"</formula>
    </cfRule>
    <cfRule type="expression" dxfId="732" priority="33">
      <formula>D290="Obsolete"</formula>
    </cfRule>
    <cfRule type="expression" dxfId="731" priority="34">
      <formula>D290=""</formula>
    </cfRule>
    <cfRule type="expression" dxfId="730" priority="35">
      <formula>D290="List Price"</formula>
    </cfRule>
  </conditionalFormatting>
  <conditionalFormatting sqref="D299:D306">
    <cfRule type="expression" dxfId="729" priority="401">
      <formula>D299="Not a valid item #"</formula>
    </cfRule>
    <cfRule type="expression" dxfId="728" priority="402">
      <formula>D299="Not in NPSLS"</formula>
    </cfRule>
    <cfRule type="expression" dxfId="727" priority="403">
      <formula>D299="Obsolete"</formula>
    </cfRule>
    <cfRule type="expression" dxfId="726" priority="404">
      <formula>D299=""</formula>
    </cfRule>
    <cfRule type="expression" dxfId="725" priority="405">
      <formula>D299="List Price"</formula>
    </cfRule>
  </conditionalFormatting>
  <conditionalFormatting sqref="D308:D315">
    <cfRule type="expression" dxfId="724" priority="396">
      <formula>D308="Not a valid item #"</formula>
    </cfRule>
    <cfRule type="expression" dxfId="723" priority="397">
      <formula>D308="Not in NPSLS"</formula>
    </cfRule>
    <cfRule type="expression" dxfId="722" priority="398">
      <formula>D308="Obsolete"</formula>
    </cfRule>
    <cfRule type="expression" dxfId="721" priority="399">
      <formula>D308=""</formula>
    </cfRule>
    <cfRule type="expression" dxfId="720" priority="400">
      <formula>D308="List Price"</formula>
    </cfRule>
  </conditionalFormatting>
  <conditionalFormatting sqref="D317:D324">
    <cfRule type="expression" dxfId="719" priority="391">
      <formula>D317="Not a valid item #"</formula>
    </cfRule>
    <cfRule type="expression" dxfId="718" priority="392">
      <formula>D317="Not in NPSLS"</formula>
    </cfRule>
    <cfRule type="expression" dxfId="717" priority="393">
      <formula>D317="Obsolete"</formula>
    </cfRule>
    <cfRule type="expression" dxfId="716" priority="394">
      <formula>D317=""</formula>
    </cfRule>
    <cfRule type="expression" dxfId="715" priority="395">
      <formula>D317="List Price"</formula>
    </cfRule>
  </conditionalFormatting>
  <conditionalFormatting sqref="D326:D333">
    <cfRule type="expression" dxfId="714" priority="386">
      <formula>D326="Not a valid item #"</formula>
    </cfRule>
    <cfRule type="expression" dxfId="713" priority="387">
      <formula>D326="Not in NPSLS"</formula>
    </cfRule>
    <cfRule type="expression" dxfId="712" priority="388">
      <formula>D326="Obsolete"</formula>
    </cfRule>
    <cfRule type="expression" dxfId="711" priority="389">
      <formula>D326=""</formula>
    </cfRule>
    <cfRule type="expression" dxfId="710" priority="390">
      <formula>D326="List Price"</formula>
    </cfRule>
  </conditionalFormatting>
  <conditionalFormatting sqref="D388">
    <cfRule type="expression" dxfId="709" priority="111">
      <formula>D388="Not a valid item #"</formula>
    </cfRule>
    <cfRule type="expression" dxfId="708" priority="112">
      <formula>D388="Not in NPSLS"</formula>
    </cfRule>
    <cfRule type="expression" dxfId="707" priority="113">
      <formula>D388="Obsolete"</formula>
    </cfRule>
    <cfRule type="expression" dxfId="706" priority="114">
      <formula>D388=""</formula>
    </cfRule>
    <cfRule type="expression" dxfId="705" priority="115">
      <formula>D388="List Price"</formula>
    </cfRule>
  </conditionalFormatting>
  <conditionalFormatting sqref="D390:D399">
    <cfRule type="expression" dxfId="704" priority="106">
      <formula>D390="Not a valid item #"</formula>
    </cfRule>
    <cfRule type="expression" dxfId="703" priority="107">
      <formula>D390="Not in NPSLS"</formula>
    </cfRule>
    <cfRule type="expression" dxfId="702" priority="108">
      <formula>D390="Obsolete"</formula>
    </cfRule>
    <cfRule type="expression" dxfId="701" priority="109">
      <formula>D390=""</formula>
    </cfRule>
    <cfRule type="expression" dxfId="700" priority="110">
      <formula>D390="List Price"</formula>
    </cfRule>
  </conditionalFormatting>
  <conditionalFormatting sqref="D401:D409">
    <cfRule type="expression" dxfId="699" priority="66">
      <formula>D401="Not a valid item #"</formula>
    </cfRule>
    <cfRule type="expression" dxfId="698" priority="67">
      <formula>D401="Not in NPSLS"</formula>
    </cfRule>
    <cfRule type="expression" dxfId="697" priority="68">
      <formula>D401="Obsolete"</formula>
    </cfRule>
    <cfRule type="expression" dxfId="696" priority="69">
      <formula>D401=""</formula>
    </cfRule>
    <cfRule type="expression" dxfId="695" priority="70">
      <formula>D401="List Price"</formula>
    </cfRule>
  </conditionalFormatting>
  <conditionalFormatting sqref="D411:D419">
    <cfRule type="expression" dxfId="694" priority="61">
      <formula>D411="Not a valid item #"</formula>
    </cfRule>
    <cfRule type="expression" dxfId="693" priority="62">
      <formula>D411="Not in NPSLS"</formula>
    </cfRule>
    <cfRule type="expression" dxfId="692" priority="63">
      <formula>D411="Obsolete"</formula>
    </cfRule>
    <cfRule type="expression" dxfId="691" priority="64">
      <formula>D411=""</formula>
    </cfRule>
    <cfRule type="expression" dxfId="690" priority="65">
      <formula>D411="List Price"</formula>
    </cfRule>
  </conditionalFormatting>
  <conditionalFormatting sqref="D421:D429">
    <cfRule type="expression" dxfId="689" priority="56">
      <formula>D421="Not a valid item #"</formula>
    </cfRule>
    <cfRule type="expression" dxfId="688" priority="57">
      <formula>D421="Not in NPSLS"</formula>
    </cfRule>
    <cfRule type="expression" dxfId="687" priority="58">
      <formula>D421="Obsolete"</formula>
    </cfRule>
    <cfRule type="expression" dxfId="686" priority="59">
      <formula>D421=""</formula>
    </cfRule>
    <cfRule type="expression" dxfId="685" priority="60">
      <formula>D421="List Price"</formula>
    </cfRule>
  </conditionalFormatting>
  <conditionalFormatting sqref="D431:D439">
    <cfRule type="expression" dxfId="684" priority="51">
      <formula>D431="Not a valid item #"</formula>
    </cfRule>
    <cfRule type="expression" dxfId="683" priority="52">
      <formula>D431="Not in NPSLS"</formula>
    </cfRule>
    <cfRule type="expression" dxfId="682" priority="53">
      <formula>D431="Obsolete"</formula>
    </cfRule>
    <cfRule type="expression" dxfId="681" priority="54">
      <formula>D431=""</formula>
    </cfRule>
    <cfRule type="expression" dxfId="680" priority="55">
      <formula>D431="List Price"</formula>
    </cfRule>
  </conditionalFormatting>
  <conditionalFormatting sqref="D441:D449">
    <cfRule type="expression" dxfId="679" priority="46">
      <formula>D441="Not a valid item #"</formula>
    </cfRule>
    <cfRule type="expression" dxfId="678" priority="47">
      <formula>D441="Not in NPSLS"</formula>
    </cfRule>
    <cfRule type="expression" dxfId="677" priority="48">
      <formula>D441="Obsolete"</formula>
    </cfRule>
    <cfRule type="expression" dxfId="676" priority="49">
      <formula>D441=""</formula>
    </cfRule>
    <cfRule type="expression" dxfId="675" priority="50">
      <formula>D441="List Price"</formula>
    </cfRule>
  </conditionalFormatting>
  <conditionalFormatting sqref="D490">
    <cfRule type="expression" dxfId="674" priority="366">
      <formula>D490="Not a valid item #"</formula>
    </cfRule>
    <cfRule type="expression" dxfId="673" priority="367">
      <formula>D490="Not in NPSLS"</formula>
    </cfRule>
    <cfRule type="expression" dxfId="672" priority="368">
      <formula>D490="Obsolete"</formula>
    </cfRule>
    <cfRule type="expression" dxfId="671" priority="369">
      <formula>D490=""</formula>
    </cfRule>
    <cfRule type="expression" dxfId="670" priority="370">
      <formula>D490="List Price"</formula>
    </cfRule>
  </conditionalFormatting>
  <conditionalFormatting sqref="D492:D500">
    <cfRule type="expression" dxfId="669" priority="361">
      <formula>D492="Not a valid item #"</formula>
    </cfRule>
    <cfRule type="expression" dxfId="668" priority="362">
      <formula>D492="Not in NPSLS"</formula>
    </cfRule>
    <cfRule type="expression" dxfId="667" priority="363">
      <formula>D492="Obsolete"</formula>
    </cfRule>
    <cfRule type="expression" dxfId="666" priority="364">
      <formula>D492=""</formula>
    </cfRule>
    <cfRule type="expression" dxfId="665" priority="365">
      <formula>D492="List Price"</formula>
    </cfRule>
  </conditionalFormatting>
  <conditionalFormatting sqref="D502:D509">
    <cfRule type="expression" dxfId="664" priority="326">
      <formula>D502="Not a valid item #"</formula>
    </cfRule>
    <cfRule type="expression" dxfId="663" priority="327">
      <formula>D502="Not in NPSLS"</formula>
    </cfRule>
    <cfRule type="expression" dxfId="662" priority="328">
      <formula>D502="Obsolete"</formula>
    </cfRule>
    <cfRule type="expression" dxfId="661" priority="329">
      <formula>D502=""</formula>
    </cfRule>
    <cfRule type="expression" dxfId="660" priority="330">
      <formula>D502="List Price"</formula>
    </cfRule>
  </conditionalFormatting>
  <conditionalFormatting sqref="D511:D518">
    <cfRule type="expression" dxfId="659" priority="321">
      <formula>D511="Not a valid item #"</formula>
    </cfRule>
    <cfRule type="expression" dxfId="658" priority="322">
      <formula>D511="Not in NPSLS"</formula>
    </cfRule>
    <cfRule type="expression" dxfId="657" priority="323">
      <formula>D511="Obsolete"</formula>
    </cfRule>
    <cfRule type="expression" dxfId="656" priority="324">
      <formula>D511=""</formula>
    </cfRule>
    <cfRule type="expression" dxfId="655" priority="325">
      <formula>D511="List Price"</formula>
    </cfRule>
  </conditionalFormatting>
  <conditionalFormatting sqref="F2:F3 F5:F29">
    <cfRule type="expression" dxfId="654" priority="296">
      <formula>F2="Not a valid item #"</formula>
    </cfRule>
    <cfRule type="expression" dxfId="653" priority="297">
      <formula>F2="Not in NPSLS"</formula>
    </cfRule>
    <cfRule type="expression" dxfId="652" priority="298">
      <formula>F2="Obsolete"</formula>
    </cfRule>
    <cfRule type="expression" dxfId="651" priority="299">
      <formula>F2=""</formula>
    </cfRule>
    <cfRule type="expression" dxfId="650" priority="300">
      <formula>F2="List Price"</formula>
    </cfRule>
  </conditionalFormatting>
  <conditionalFormatting sqref="F32:F33">
    <cfRule type="expression" dxfId="649" priority="291">
      <formula>F32="Not a valid item #"</formula>
    </cfRule>
    <cfRule type="expression" dxfId="648" priority="292">
      <formula>F32="Not in NPSLS"</formula>
    </cfRule>
    <cfRule type="expression" dxfId="647" priority="293">
      <formula>F32="Obsolete"</formula>
    </cfRule>
    <cfRule type="expression" dxfId="646" priority="294">
      <formula>F32=""</formula>
    </cfRule>
    <cfRule type="expression" dxfId="645" priority="295">
      <formula>F32="List Price"</formula>
    </cfRule>
  </conditionalFormatting>
  <conditionalFormatting sqref="F110:F111 F113:F143">
    <cfRule type="expression" dxfId="644" priority="216">
      <formula>F110="Not a valid item #"</formula>
    </cfRule>
    <cfRule type="expression" dxfId="643" priority="217">
      <formula>F110="Not in NPSLS"</formula>
    </cfRule>
    <cfRule type="expression" dxfId="642" priority="218">
      <formula>F110="Obsolete"</formula>
    </cfRule>
    <cfRule type="expression" dxfId="641" priority="219">
      <formula>F110=""</formula>
    </cfRule>
    <cfRule type="expression" dxfId="640" priority="220">
      <formula>F110="List Price"</formula>
    </cfRule>
  </conditionalFormatting>
  <conditionalFormatting sqref="F146:F147">
    <cfRule type="expression" dxfId="639" priority="211">
      <formula>F146="Not a valid item #"</formula>
    </cfRule>
    <cfRule type="expression" dxfId="638" priority="212">
      <formula>F146="Not in NPSLS"</formula>
    </cfRule>
    <cfRule type="expression" dxfId="637" priority="213">
      <formula>F146="Obsolete"</formula>
    </cfRule>
    <cfRule type="expression" dxfId="636" priority="214">
      <formula>F146=""</formula>
    </cfRule>
    <cfRule type="expression" dxfId="635" priority="215">
      <formula>F146="List Price"</formula>
    </cfRule>
  </conditionalFormatting>
  <conditionalFormatting sqref="F257:F258">
    <cfRule type="expression" dxfId="634" priority="456">
      <formula>F257="Not a valid item #"</formula>
    </cfRule>
    <cfRule type="expression" dxfId="633" priority="457">
      <formula>F257="Not in NPSLS"</formula>
    </cfRule>
    <cfRule type="expression" dxfId="632" priority="458">
      <formula>F257="Obsolete"</formula>
    </cfRule>
    <cfRule type="expression" dxfId="631" priority="459">
      <formula>F257=""</formula>
    </cfRule>
    <cfRule type="expression" dxfId="630" priority="460">
      <formula>F257="List Price"</formula>
    </cfRule>
  </conditionalFormatting>
  <conditionalFormatting sqref="F369:F370 F372 F374:F382">
    <cfRule type="expression" dxfId="629" priority="121">
      <formula>F369="Not a valid item #"</formula>
    </cfRule>
    <cfRule type="expression" dxfId="628" priority="122">
      <formula>F369="Not in NPSLS"</formula>
    </cfRule>
    <cfRule type="expression" dxfId="627" priority="123">
      <formula>F369="Obsolete"</formula>
    </cfRule>
    <cfRule type="expression" dxfId="626" priority="124">
      <formula>F369=""</formula>
    </cfRule>
    <cfRule type="expression" dxfId="625" priority="125">
      <formula>F369="List Price"</formula>
    </cfRule>
  </conditionalFormatting>
  <conditionalFormatting sqref="F385:F386">
    <cfRule type="expression" dxfId="624" priority="116">
      <formula>F385="Not a valid item #"</formula>
    </cfRule>
    <cfRule type="expression" dxfId="623" priority="117">
      <formula>F385="Not in NPSLS"</formula>
    </cfRule>
    <cfRule type="expression" dxfId="622" priority="118">
      <formula>F385="Obsolete"</formula>
    </cfRule>
    <cfRule type="expression" dxfId="621" priority="119">
      <formula>F385=""</formula>
    </cfRule>
    <cfRule type="expression" dxfId="620" priority="120">
      <formula>F385="List Price"</formula>
    </cfRule>
  </conditionalFormatting>
  <conditionalFormatting sqref="F453:F454 F456:F483">
    <cfRule type="expression" dxfId="619" priority="376">
      <formula>F453="Not a valid item #"</formula>
    </cfRule>
    <cfRule type="expression" dxfId="618" priority="377">
      <formula>F453="Not in NPSLS"</formula>
    </cfRule>
    <cfRule type="expression" dxfId="617" priority="378">
      <formula>F453="Obsolete"</formula>
    </cfRule>
    <cfRule type="expression" dxfId="616" priority="379">
      <formula>F453=""</formula>
    </cfRule>
    <cfRule type="expression" dxfId="615" priority="380">
      <formula>F453="List Price"</formula>
    </cfRule>
  </conditionalFormatting>
  <conditionalFormatting sqref="F487:F488">
    <cfRule type="expression" dxfId="614" priority="371">
      <formula>F487="Not a valid item #"</formula>
    </cfRule>
    <cfRule type="expression" dxfId="613" priority="372">
      <formula>F487="Not in NPSLS"</formula>
    </cfRule>
    <cfRule type="expression" dxfId="612" priority="373">
      <formula>F487="Obsolete"</formula>
    </cfRule>
    <cfRule type="expression" dxfId="611" priority="374">
      <formula>F487=""</formula>
    </cfRule>
    <cfRule type="expression" dxfId="610" priority="375">
      <formula>F487="List Price"</formula>
    </cfRule>
  </conditionalFormatting>
  <hyperlinks>
    <hyperlink ref="A1" location="'Table of Contents'!A1" display="Return Home" xr:uid="{5EB000DC-FFB1-4878-8418-BF2881CAB80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53906c-3413-4ea1-b896-8b4dbbba206b">
      <UserInfo>
        <DisplayName>Jennifer Carlino (SXS US)</DisplayName>
        <AccountId>20</AccountId>
        <AccountType/>
      </UserInfo>
      <UserInfo>
        <DisplayName>Valerie Trone (SXS US)</DisplayName>
        <AccountId>10</AccountId>
        <AccountType/>
      </UserInfo>
      <UserInfo>
        <DisplayName>Steve Bottorff</DisplayName>
        <AccountId>16</AccountId>
        <AccountType/>
      </UserInfo>
    </SharedWithUsers>
    <TaxCatchAll xmlns="7f53906c-3413-4ea1-b896-8b4dbbba206b" xsi:nil="true"/>
    <lcf76f155ced4ddcb4097134ff3c332f xmlns="4c6319a1-d11a-4a5a-95e2-558c5a3c1b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4" ma:contentTypeDescription="Create a new document." ma:contentTypeScope="" ma:versionID="4cbf830e8060f127d826d428572676ea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e854b79912b10f0ce638daffb3a4f678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a1c32a-90a5-489c-8771-032993052f5a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53236A-9019-4CFF-ACD7-D17A8ABFE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09686-C5E3-4605-A328-48AD89CF52C0}">
  <ds:schemaRefs>
    <ds:schemaRef ds:uri="http://schemas.openxmlformats.org/package/2006/metadata/core-properties"/>
    <ds:schemaRef ds:uri="http://purl.org/dc/elements/1.1/"/>
    <ds:schemaRef ds:uri="331c7866-f124-4139-be14-889ca0343ef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0bcff1af-3d3e-4a61-995a-d8e9868445d4"/>
    <ds:schemaRef ds:uri="http://schemas.microsoft.com/office/2006/metadata/properties"/>
    <ds:schemaRef ds:uri="http://purl.org/dc/terms/"/>
    <ds:schemaRef ds:uri="7f53906c-3413-4ea1-b896-8b4dbbba206b"/>
    <ds:schemaRef ds:uri="4c6319a1-d11a-4a5a-95e2-558c5a3c1b67"/>
  </ds:schemaRefs>
</ds:datastoreItem>
</file>

<file path=customXml/itemProps3.xml><?xml version="1.0" encoding="utf-8"?>
<ds:datastoreItem xmlns:ds="http://schemas.openxmlformats.org/officeDocument/2006/customXml" ds:itemID="{B5D7797D-6AEB-471B-9138-C1952BB1F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T&amp;C</vt:lpstr>
      <vt:lpstr>Table of Contents</vt:lpstr>
      <vt:lpstr>Iron Wye Strainers</vt:lpstr>
      <vt:lpstr>Bronze Wye Strainers</vt:lpstr>
      <vt:lpstr>Carbon Steel Wye Strainers</vt:lpstr>
      <vt:lpstr>Stainless Steel Wye Strainer</vt:lpstr>
      <vt:lpstr>Iron Simplex Basket Strainers</vt:lpstr>
      <vt:lpstr>Carbon Steel Simplex Basket </vt:lpstr>
      <vt:lpstr>Stainless Steel Simplex Basket</vt:lpstr>
      <vt:lpstr>Duplex Basket Strainers</vt:lpstr>
      <vt:lpstr>UL Fireline Strainers</vt:lpstr>
      <vt:lpstr>Suction Diffusers</vt:lpstr>
      <vt:lpstr>Triple Duty Valves</vt:lpstr>
      <vt:lpstr>Double Disc Check Valves</vt:lpstr>
      <vt:lpstr>Silent Check Valves</vt:lpstr>
      <vt:lpstr>CHEXTER Check Valv</vt:lpstr>
      <vt:lpstr>Butterfly Valves</vt:lpstr>
      <vt:lpstr>List Price Adders</vt:lpstr>
      <vt:lpstr>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Carlino (SXS US)</dc:creator>
  <cp:keywords/>
  <dc:description/>
  <cp:lastModifiedBy>Vladyka, Brian</cp:lastModifiedBy>
  <cp:revision/>
  <dcterms:created xsi:type="dcterms:W3CDTF">2020-11-17T12:58:58Z</dcterms:created>
  <dcterms:modified xsi:type="dcterms:W3CDTF">2026-07-22T17:43:39Z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