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C:\Users\mynstea\Downloads\"/>
    </mc:Choice>
  </mc:AlternateContent>
  <xr:revisionPtr revIDLastSave="0" documentId="13_ncr:1_{EB6BE588-BE4A-477B-99CF-63FDA89AC1E9}" xr6:coauthVersionLast="47" xr6:coauthVersionMax="47" xr10:uidLastSave="{00000000-0000-0000-0000-000000000000}"/>
  <bookViews>
    <workbookView xWindow="-120" yWindow="-120" windowWidth="29040" windowHeight="15840" tabRatio="729" xr2:uid="{00000000-000D-0000-FFFF-FFFF00000000}"/>
  </bookViews>
  <sheets>
    <sheet name="BENCHMARK PLATINUM w EDGEii_OLD" sheetId="7" r:id="rId1"/>
    <sheet name="BENCHMARK PLATINUM w EDGEii" sheetId="13" r:id="rId2"/>
    <sheet name="BENCHMARK STANDARD w EDGEi" sheetId="10" r:id="rId3"/>
    <sheet name="BENCHMARK w EDGEii" sheetId="16" r:id="rId4"/>
    <sheet name="MFC SERIES" sheetId="8" r:id="rId5"/>
    <sheet name="AM SERIES" sheetId="6" r:id="rId6"/>
    <sheet name="MLX EXT" sheetId="11" r:id="rId7"/>
    <sheet name="Reference" sheetId="4" state="veryHidden" r:id="rId8"/>
    <sheet name="Relief Valve" sheetId="12" state="veryHidden" r:id="rId9"/>
  </sheets>
  <definedNames>
    <definedName name="_xlnm._FilterDatabase" localSheetId="5" hidden="1">'AM SERIES'!$B$2:$B$25</definedName>
    <definedName name="_xlnm._FilterDatabase" localSheetId="7" hidden="1">Reference!$A$3:$A$12</definedName>
    <definedName name="AM">Reference!$A$53:$A$56</definedName>
    <definedName name="AMboiler">Reference!$A$53:$AC$56</definedName>
    <definedName name="BMKEdgei">Reference!$A$21:$A$30</definedName>
    <definedName name="BMKEDGEii">Reference!$A$37:$A$46</definedName>
    <definedName name="BMKPlatEdgeii">Reference!$A$5:$A$14</definedName>
    <definedName name="BMKPlatwCMORE">Reference!$A$5:$AC$14</definedName>
    <definedName name="BMKPlatwEDGE">Reference!$A$5:$AC$14</definedName>
    <definedName name="BMKSTDwEdge">Reference!$A$21:$AC$30</definedName>
    <definedName name="BMKwEDGEii">Reference!$A$37:$AC$46</definedName>
    <definedName name="INN">Reference!$A$79:$A$82</definedName>
    <definedName name="MaxPressure">'Relief Valve'!$B$4:$B$9</definedName>
    <definedName name="MFC">Reference!$A$65:$A$70</definedName>
    <definedName name="MFCBoiler">Reference!$A$65:$AC$70</definedName>
    <definedName name="MinPressure">'Relief Valve'!$A$4:$A$9</definedName>
    <definedName name="MLX">Reference!$A$92:$A$99</definedName>
    <definedName name="MLXBoiler">Reference!$A$92:$AL$99</definedName>
    <definedName name="RV_BMKCMORE">'Relief Valve'!$H$4:$H$9</definedName>
    <definedName name="RV_BMKEDGEii">'Relief Valve'!$F$4:$F$9</definedName>
    <definedName name="RV_BMKPCMORE">'Relief Valve'!$G$4:$G$9</definedName>
    <definedName name="RV_BMKPEDGE">'Relief Valve'!$D$4:$D$9</definedName>
    <definedName name="RV_BMKPEDGEii">'Relief Valve'!$E$4:$E$9</definedName>
    <definedName name="RV_INN">'Relief Valve'!#REF!</definedName>
    <definedName name="RV_MFC">'Relief Valve'!$I$4:$I$9</definedName>
    <definedName name="RVpressure">'Relief Valve'!$C$4:$C$9</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9" i="7" l="1"/>
  <c r="C12" i="16"/>
  <c r="AB9" i="16"/>
  <c r="X9" i="16"/>
  <c r="W9" i="16"/>
  <c r="V9" i="16"/>
  <c r="U9" i="16"/>
  <c r="T9" i="16"/>
  <c r="S9" i="16"/>
  <c r="R9" i="16"/>
  <c r="Q9" i="16"/>
  <c r="P9" i="16"/>
  <c r="O9" i="16"/>
  <c r="L9" i="16"/>
  <c r="J9" i="16"/>
  <c r="H9" i="16"/>
  <c r="G9" i="16"/>
  <c r="G9" i="13"/>
  <c r="H9" i="13"/>
  <c r="U29" i="16"/>
  <c r="I9" i="16"/>
  <c r="C12" i="11"/>
  <c r="B4" i="12"/>
  <c r="H4" i="12" s="1"/>
  <c r="B5" i="12"/>
  <c r="A6" i="12" s="1"/>
  <c r="C12" i="8"/>
  <c r="C12" i="10"/>
  <c r="I9" i="11"/>
  <c r="K9" i="11"/>
  <c r="K9" i="6"/>
  <c r="AI65" i="4"/>
  <c r="AK53" i="4"/>
  <c r="U29" i="13"/>
  <c r="C12" i="13"/>
  <c r="AB9" i="13"/>
  <c r="X9" i="13"/>
  <c r="W9" i="13"/>
  <c r="V9" i="13"/>
  <c r="U9" i="13"/>
  <c r="T9" i="13"/>
  <c r="S9" i="13"/>
  <c r="R9" i="13"/>
  <c r="Q9" i="13"/>
  <c r="P9" i="13"/>
  <c r="O9" i="13"/>
  <c r="L9" i="13"/>
  <c r="J9" i="13"/>
  <c r="I9" i="13"/>
  <c r="E4" i="12" l="1"/>
  <c r="F4" i="12"/>
  <c r="D4" i="12"/>
  <c r="A5" i="12"/>
  <c r="F5" i="12" s="1"/>
  <c r="I4" i="12"/>
  <c r="G4" i="12"/>
  <c r="C12" i="6"/>
  <c r="C13" i="11"/>
  <c r="M9" i="11"/>
  <c r="AB9" i="11"/>
  <c r="X9" i="11"/>
  <c r="W9" i="11"/>
  <c r="V9" i="11"/>
  <c r="U9" i="11"/>
  <c r="T9" i="11"/>
  <c r="S9" i="11"/>
  <c r="R9" i="11"/>
  <c r="Q9" i="11"/>
  <c r="P9" i="11"/>
  <c r="O9" i="11"/>
  <c r="L9" i="11"/>
  <c r="J9" i="11"/>
  <c r="H9" i="11"/>
  <c r="AA9" i="6"/>
  <c r="Z9" i="6"/>
  <c r="Y9" i="6"/>
  <c r="X9" i="6"/>
  <c r="W9" i="6"/>
  <c r="V9" i="6"/>
  <c r="U9" i="6"/>
  <c r="T9" i="6"/>
  <c r="S9" i="6"/>
  <c r="R9" i="6"/>
  <c r="Q9" i="6"/>
  <c r="P9" i="6"/>
  <c r="M9" i="6"/>
  <c r="L9" i="6"/>
  <c r="I9" i="6"/>
  <c r="H9" i="6"/>
  <c r="AB9" i="8"/>
  <c r="X9" i="8"/>
  <c r="W9" i="8"/>
  <c r="V9" i="8"/>
  <c r="U9" i="8"/>
  <c r="T9" i="8"/>
  <c r="S9" i="8"/>
  <c r="R9" i="8"/>
  <c r="Q9" i="8"/>
  <c r="P9" i="8"/>
  <c r="O9" i="8"/>
  <c r="L9" i="8"/>
  <c r="J9" i="8"/>
  <c r="H9" i="8"/>
  <c r="G9" i="10"/>
  <c r="U9" i="7"/>
  <c r="P9" i="7"/>
  <c r="E5" i="12" l="1"/>
  <c r="AL99" i="4"/>
  <c r="AK99" i="4"/>
  <c r="AJ99" i="4"/>
  <c r="AI99" i="4"/>
  <c r="AL98" i="4"/>
  <c r="AK98" i="4"/>
  <c r="AJ98" i="4"/>
  <c r="AI98" i="4"/>
  <c r="AL97" i="4"/>
  <c r="AK97" i="4"/>
  <c r="AJ97" i="4"/>
  <c r="AI97" i="4"/>
  <c r="AL96" i="4"/>
  <c r="AK96" i="4"/>
  <c r="AJ96" i="4"/>
  <c r="AI96" i="4"/>
  <c r="AL95" i="4"/>
  <c r="AK95" i="4"/>
  <c r="AJ95" i="4"/>
  <c r="AI95" i="4"/>
  <c r="AL94" i="4"/>
  <c r="AK94" i="4"/>
  <c r="AJ94" i="4"/>
  <c r="AI94" i="4"/>
  <c r="AL93" i="4"/>
  <c r="AK93" i="4"/>
  <c r="AJ93" i="4"/>
  <c r="AI93" i="4"/>
  <c r="AL92" i="4"/>
  <c r="AK92" i="4"/>
  <c r="AJ92" i="4"/>
  <c r="AI92" i="4"/>
  <c r="AL70" i="4"/>
  <c r="AK70" i="4"/>
  <c r="AJ70" i="4"/>
  <c r="AI70" i="4"/>
  <c r="AL69" i="4"/>
  <c r="AK69" i="4"/>
  <c r="AJ69" i="4"/>
  <c r="AI69" i="4"/>
  <c r="AL68" i="4"/>
  <c r="AK68" i="4"/>
  <c r="AJ68" i="4"/>
  <c r="AI68" i="4"/>
  <c r="AL67" i="4"/>
  <c r="AK67" i="4"/>
  <c r="AJ67" i="4"/>
  <c r="AI67" i="4"/>
  <c r="AL66" i="4"/>
  <c r="AK66" i="4"/>
  <c r="AJ66" i="4"/>
  <c r="AI66" i="4"/>
  <c r="AL65" i="4"/>
  <c r="AK65" i="4"/>
  <c r="AJ65" i="4"/>
  <c r="AL56" i="4"/>
  <c r="AK56" i="4"/>
  <c r="AJ56" i="4"/>
  <c r="AI56" i="4"/>
  <c r="AL55" i="4"/>
  <c r="AK55" i="4"/>
  <c r="AJ55" i="4"/>
  <c r="AI55" i="4"/>
  <c r="AL54" i="4"/>
  <c r="AK54" i="4"/>
  <c r="AJ54" i="4"/>
  <c r="AI54" i="4"/>
  <c r="AL53" i="4"/>
  <c r="F53" i="4" s="1"/>
  <c r="AJ53" i="4"/>
  <c r="AI53" i="4"/>
  <c r="F98" i="4" l="1"/>
  <c r="F65" i="4"/>
  <c r="F67" i="4"/>
  <c r="F92" i="4"/>
  <c r="F54" i="4"/>
  <c r="F66" i="4"/>
  <c r="F68" i="4"/>
  <c r="F70" i="4"/>
  <c r="F93" i="4"/>
  <c r="F95" i="4"/>
  <c r="F94" i="4"/>
  <c r="F97" i="4"/>
  <c r="F55" i="4"/>
  <c r="F69" i="4"/>
  <c r="F96" i="4"/>
  <c r="F56" i="4"/>
  <c r="F99" i="4"/>
  <c r="G9" i="11" s="1"/>
  <c r="C12" i="7"/>
  <c r="AB9" i="10"/>
  <c r="X9" i="10"/>
  <c r="W9" i="10"/>
  <c r="V9" i="10"/>
  <c r="U9" i="10"/>
  <c r="T9" i="10"/>
  <c r="S9" i="10"/>
  <c r="R9" i="10"/>
  <c r="Q9" i="10"/>
  <c r="P9" i="10"/>
  <c r="O9" i="10"/>
  <c r="L9" i="10"/>
  <c r="J9" i="10"/>
  <c r="H9" i="10"/>
  <c r="AB9" i="7"/>
  <c r="X9" i="7"/>
  <c r="W9" i="7"/>
  <c r="V9" i="7"/>
  <c r="T9" i="7"/>
  <c r="S9" i="7"/>
  <c r="R9" i="7"/>
  <c r="O9" i="7"/>
  <c r="L9" i="7"/>
  <c r="J9" i="7"/>
  <c r="H9" i="7"/>
  <c r="G9" i="7"/>
  <c r="B6" i="12"/>
  <c r="B7" i="12"/>
  <c r="B8" i="12"/>
  <c r="E6" i="12" l="1"/>
  <c r="F6" i="12"/>
  <c r="G9" i="6"/>
  <c r="G9" i="8"/>
  <c r="G6" i="12"/>
  <c r="A7" i="12"/>
  <c r="A8" i="12"/>
  <c r="A9" i="12"/>
  <c r="G5" i="12"/>
  <c r="E8" i="12" l="1"/>
  <c r="F8" i="12"/>
  <c r="E9" i="12"/>
  <c r="F9" i="12"/>
  <c r="E7" i="12"/>
  <c r="F7" i="12"/>
  <c r="S29" i="16" s="1"/>
  <c r="K9" i="16" s="1"/>
  <c r="S29" i="13"/>
  <c r="I8" i="12"/>
  <c r="D8" i="12"/>
  <c r="G8" i="12"/>
  <c r="H5" i="12"/>
  <c r="I9" i="12"/>
  <c r="G9" i="12"/>
  <c r="H7" i="12"/>
  <c r="G7" i="12"/>
  <c r="H9" i="12"/>
  <c r="D7" i="12"/>
  <c r="H6" i="12"/>
  <c r="D6" i="12"/>
  <c r="I7" i="12"/>
  <c r="H8" i="12"/>
  <c r="D9" i="12"/>
  <c r="I6" i="12"/>
  <c r="I5" i="12"/>
  <c r="D5" i="12"/>
  <c r="I9" i="10"/>
  <c r="I9" i="7"/>
  <c r="I9" i="8"/>
  <c r="U27" i="8"/>
  <c r="U27" i="10"/>
  <c r="U29" i="7"/>
  <c r="K9" i="13" l="1"/>
  <c r="S29" i="7"/>
  <c r="K9" i="7" s="1"/>
  <c r="S27" i="8"/>
  <c r="K9" i="8" s="1"/>
  <c r="S27" i="10"/>
  <c r="K9" i="10" s="1"/>
</calcChain>
</file>

<file path=xl/sharedStrings.xml><?xml version="1.0" encoding="utf-8"?>
<sst xmlns="http://schemas.openxmlformats.org/spreadsheetml/2006/main" count="2041" uniqueCount="380">
  <si>
    <t>AERCO Benchmark Platinum with Edge Series Boiler Schedules</t>
  </si>
  <si>
    <r>
      <t>VERSION 2.4</t>
    </r>
    <r>
      <rPr>
        <sz val="12"/>
        <color rgb="FF3279C7"/>
        <rFont val="Calibri (Body)"/>
      </rPr>
      <t>__</t>
    </r>
  </si>
  <si>
    <t>Select Boiler</t>
  </si>
  <si>
    <t>BMK PLATINUM 4000 w/ EDGE[ii]</t>
  </si>
  <si>
    <t>BOILER SCHEDULE</t>
  </si>
  <si>
    <t>WATER DATA</t>
  </si>
  <si>
    <t>BURNER DATA</t>
  </si>
  <si>
    <t>ELECTRICAL DATA</t>
  </si>
  <si>
    <t>UNIT NO.</t>
  </si>
  <si>
    <t>LOCATION</t>
  </si>
  <si>
    <t>SERVICE</t>
  </si>
  <si>
    <t>BOILER TYPE</t>
  </si>
  <si>
    <t>NET OUTPUT (MBH) (160/80 DEG F RWT)</t>
  </si>
  <si>
    <t>AHRI EFFICIENCY (BTS-2000)            (%)</t>
  </si>
  <si>
    <t>OPERATING PRESSURE (PSIG)</t>
  </si>
  <si>
    <t>BOILER CAPACITY (GAL)</t>
  </si>
  <si>
    <t>RELIEF VALVE PRESSURE (PSIG)</t>
  </si>
  <si>
    <t>BOILER PRESSURE RATING (PSIG)</t>
  </si>
  <si>
    <t>DESIGN DELTA T (DEG F)</t>
  </si>
  <si>
    <t>DESIGN FLOW (GPM)</t>
  </si>
  <si>
    <t>BOILER MIN/MAX WATER FLOW (GPM)</t>
  </si>
  <si>
    <t>PRESSURE       DROP</t>
  </si>
  <si>
    <t>FUEL</t>
  </si>
  <si>
    <t>GAS INPUT (CFH)</t>
  </si>
  <si>
    <t>MIN-MAX GAS   INLET PRESSURE             (IN W.C.)</t>
  </si>
  <si>
    <t>VOLT/PHASE/HZ</t>
  </si>
  <si>
    <t>FLA</t>
  </si>
  <si>
    <t>BLOWER MOTOR HP</t>
  </si>
  <si>
    <t>DIMENSIONS             L x W x H (IN)</t>
  </si>
  <si>
    <t>UNIT OPERATING WEIGHT (LBS)</t>
  </si>
  <si>
    <t>APPROVAL</t>
  </si>
  <si>
    <t>UL LISTING NUMBER</t>
  </si>
  <si>
    <t>MANUFACTURE</t>
  </si>
  <si>
    <t>MODEL</t>
  </si>
  <si>
    <t>B-1..B-X</t>
  </si>
  <si>
    <t>MER</t>
  </si>
  <si>
    <t>HEATING</t>
  </si>
  <si>
    <t>CONDENSING FIRE TUBE</t>
  </si>
  <si>
    <t>--</t>
  </si>
  <si>
    <t>UL/FM/CSD-1</t>
  </si>
  <si>
    <t>MH15883</t>
  </si>
  <si>
    <t>AERCO</t>
  </si>
  <si>
    <t>NOTES:</t>
  </si>
  <si>
    <t>1. VENTLESS GAS TRAIN</t>
  </si>
  <si>
    <t>8. COMBUSTION O2 LEVELS SHALL NOT EXCEED 7% THROUGHOUT ENTIRE FIRING RANGE. COMBUSTION SYSTEM SHALL BE CAPABLE OF O2 TRIM IN ORDER TO SELF-CALIBRATE COMBUSTION SETTINGS TO COMPENSATE FOR CHANGING CONDITIONS WHICH CAN IMPACT EFFICIENCY, MAINTENANCE, AND SAFETY FACTORS</t>
  </si>
  <si>
    <t>10. BOILER MANUFACTURE TO PROVIDE LOCAL PEER TO PEER BLUETOOTH COMMUNICATION TO TABLET/SMART PHONE APP TO ALLOW COMPLETE CONTROL AND SETUP OF UNIT WITH A 15-FOOT PROXIMITY</t>
  </si>
  <si>
    <t>13. PROVIDE CHECK VALVE FOR EACH INLET CONNECTION</t>
  </si>
  <si>
    <t>17. BOILER MANUFACTURE TO PROVIDE 5- YEAR NON-PRORATED BURNER WARRANTY</t>
  </si>
  <si>
    <t>20. BOILER MANUFACTURE TO MODULATE PRIMARY PUMP TO MAINTAIN OPTIMIZE BOILER EFFICIENCY</t>
  </si>
  <si>
    <t>23. BOILER MANUFACTURE CONROLLER LOGIC TO INCLUDE SWITCHING FROM MANAGER  BOILER TO A BACKUP MANAGER BOILER AUTOMATICALLY.</t>
  </si>
  <si>
    <t>26. ALTERNATE MANUFACTURES MUST COMPLY WITH ALL BASIS OF DESIGN PERFORMANCE, SAFETY, DURABILITY WARRANTY AND SYSTEM DESIGN REQUIREMENTS</t>
  </si>
  <si>
    <t>14. THE BOILER MUST HAVE A FACTORY INSTALLED DUAL RETURN SYSTEM TO INCREASE THE PLANT EFFICIENCY</t>
  </si>
  <si>
    <t>4. BOILER SHALL BE CAPABLE OF UTILIZING NON-METALLIC VENT</t>
  </si>
  <si>
    <t>18. BOILER MANUFACTURE TO PROVIDE 3- YEAR NON-PRORATED CONTROLLER WARRANTY</t>
  </si>
  <si>
    <t>21. PROVIDE CONDENSATE NEUTRALIZER FOR EACH BOILER AND COMMON FLUE DRAINS</t>
  </si>
  <si>
    <t>24. BOILER MANUFACTURE TO PROVIDE INTEGRATED FLOW BALANCING BETWEEN BOILERS INSTALLED IN THE BOILER PLANT</t>
  </si>
  <si>
    <t>5. BMK COMMUNICATION: INTEGRATED BACNET</t>
  </si>
  <si>
    <t>11. BOILER STAGING POINT NOT TO EXCEED 40%</t>
  </si>
  <si>
    <t>15. BOILER MANUFACTURE TO PROVIDE 15- YEAR NON-PRORATED HEAT EXCHANGER WARRANTY</t>
  </si>
  <si>
    <t>6. PROVIDE BOILER SEQUENCING WITH HW RESET</t>
  </si>
  <si>
    <t>9. 5-YEAR ONAER REMOTE MONITORING AND ALERTING CONNECTED TO INTERNET VIA HARDLINE OR WI-FI COMMUNICATION MODULE</t>
  </si>
  <si>
    <t>12. BOILER MANUFACTURER TO PROVIDE AND CONTROL, FIELD INSTALLED, MODULATING MOTORIZED VALVES ON EACH BOILER</t>
  </si>
  <si>
    <t>19. BOILER MANUFACTURE TO PROVIDE LETTER OF GUARANTEE FOR AS BUILT FLUE AND COMBUSTION AIR INSTALLATION</t>
  </si>
  <si>
    <t xml:space="preserve">22. THE BOILERS SHALL HAVE AN O2 TRIM SYSTEM WITH ACTIVE DEW-POINT CONTROL FACTORY INSTALLED. </t>
  </si>
  <si>
    <t xml:space="preserve">25. BOILER MANUFACTURE TO PROVIDE INTEGRATED O2 SENSOR AND LOGIC TO AUTOMATICALLY COMBUSTION CALIBRATE POINTS IN CONTROLLER WITH START-UP TECHNICIAN APPROVAL </t>
  </si>
  <si>
    <t>7. CONTROLLER SHALL DISPLAY AN ALERT WHEN O2 LEVEL IS ABOVE OR BELOW CRITICAL VALUES.</t>
  </si>
  <si>
    <t xml:space="preserve">16. BOILER MANUFACTURE TO PROVIDE ONBOARD TOUCH SCREEN WITH BUTTON BACK-UP </t>
  </si>
  <si>
    <r>
      <rPr>
        <b/>
        <u/>
        <sz val="12"/>
        <color theme="1"/>
        <rFont val="Calibri (Body)"/>
      </rPr>
      <t>Schedule Selector Instructions:</t>
    </r>
    <r>
      <rPr>
        <sz val="12"/>
        <color theme="1"/>
        <rFont val="Calibri"/>
        <family val="2"/>
        <scheme val="minor"/>
      </rPr>
      <t xml:space="preserve">
</t>
    </r>
    <r>
      <rPr>
        <i/>
        <u/>
        <sz val="12"/>
        <color theme="1"/>
        <rFont val="Calibri"/>
        <family val="2"/>
        <scheme val="minor"/>
      </rPr>
      <t xml:space="preserve">
</t>
    </r>
    <r>
      <rPr>
        <b/>
        <i/>
        <sz val="12"/>
        <color theme="1"/>
        <rFont val="Calibri (Body)"/>
      </rPr>
      <t>Step 1:</t>
    </r>
    <r>
      <rPr>
        <b/>
        <sz val="12"/>
        <color theme="1"/>
        <rFont val="Calibri"/>
        <family val="2"/>
        <scheme val="minor"/>
      </rPr>
      <t xml:space="preserve"> </t>
    </r>
    <r>
      <rPr>
        <sz val="12"/>
        <color theme="1"/>
        <rFont val="Calibri"/>
        <family val="2"/>
        <scheme val="minor"/>
      </rPr>
      <t xml:space="preserve">Select "CLICK HERE TO SELECT REQUIRED BOILER SIZE" and use the drop down menu to select the appropriate boiler model number.
</t>
    </r>
    <r>
      <rPr>
        <b/>
        <i/>
        <sz val="12"/>
        <color theme="1"/>
        <rFont val="Calibri"/>
        <family val="2"/>
        <scheme val="minor"/>
      </rPr>
      <t>Step 2:</t>
    </r>
    <r>
      <rPr>
        <sz val="12"/>
        <color theme="1"/>
        <rFont val="Calibri"/>
        <family val="2"/>
        <scheme val="minor"/>
      </rPr>
      <t xml:space="preserve"> The schedule will auto populate, any cell with </t>
    </r>
    <r>
      <rPr>
        <sz val="12"/>
        <color rgb="FFFF0000"/>
        <rFont val="Calibri (Body)"/>
      </rPr>
      <t>RED</t>
    </r>
    <r>
      <rPr>
        <sz val="12"/>
        <color theme="1"/>
        <rFont val="Calibri"/>
        <family val="2"/>
        <scheme val="minor"/>
      </rPr>
      <t xml:space="preserve"> text requires editing. Notes in </t>
    </r>
    <r>
      <rPr>
        <sz val="12"/>
        <color rgb="FFFF0000"/>
        <rFont val="Calibri (Body)"/>
      </rPr>
      <t>RED</t>
    </r>
    <r>
      <rPr>
        <sz val="12"/>
        <color theme="1"/>
        <rFont val="Calibri"/>
        <family val="2"/>
        <scheme val="minor"/>
      </rPr>
      <t xml:space="preserve"> are optional.
</t>
    </r>
    <r>
      <rPr>
        <b/>
        <i/>
        <sz val="12"/>
        <color theme="1"/>
        <rFont val="Calibri"/>
        <family val="2"/>
        <scheme val="minor"/>
      </rPr>
      <t xml:space="preserve">Step 3: </t>
    </r>
    <r>
      <rPr>
        <sz val="12"/>
        <color theme="1"/>
        <rFont val="Calibri"/>
        <family val="2"/>
        <scheme val="minor"/>
      </rPr>
      <t>C</t>
    </r>
    <r>
      <rPr>
        <sz val="12"/>
        <color theme="1"/>
        <rFont val="Calibri"/>
        <family val="2"/>
        <scheme val="minor"/>
      </rPr>
      <t xml:space="preserve">opy and paste the completed schedule into the program of your choice.
</t>
    </r>
    <r>
      <rPr>
        <sz val="12"/>
        <color theme="1"/>
        <rFont val="Calibri"/>
        <family val="2"/>
        <scheme val="minor"/>
      </rPr>
      <t xml:space="preserve">
</t>
    </r>
  </si>
  <si>
    <r>
      <rPr>
        <b/>
        <u/>
        <sz val="12"/>
        <color theme="1"/>
        <rFont val="Calibri (Body)"/>
      </rPr>
      <t>Relief Valve Selection Tool:</t>
    </r>
    <r>
      <rPr>
        <i/>
        <u/>
        <sz val="12"/>
        <color theme="1"/>
        <rFont val="Calibri"/>
        <family val="2"/>
        <scheme val="minor"/>
      </rPr>
      <t xml:space="preserve">
</t>
    </r>
    <r>
      <rPr>
        <b/>
        <i/>
        <sz val="12"/>
        <color theme="0"/>
        <rFont val="Calibri (Body)"/>
      </rPr>
      <t/>
    </r>
  </si>
  <si>
    <t>Operating Pressure = System Design Pressure</t>
  </si>
  <si>
    <t>Relief Valve Pressure = 20% higher than the Operating Pressure rounded up to the nearest valve rating</t>
  </si>
  <si>
    <t>Boiler Pressure Rating = Maximum allowable vessel pressure per ASME standards</t>
  </si>
  <si>
    <t>Operating Pressure:</t>
  </si>
  <si>
    <t>&lt;-- Insert Operating Pressure</t>
  </si>
  <si>
    <t>Relief Valve Pressure:</t>
  </si>
  <si>
    <t>AERCO Benchmark Platinum with EDGE[ii] Series Boiler Schedules</t>
  </si>
  <si>
    <t>BMK PLATINUM 6000 w/ EDGE[ii]</t>
  </si>
  <si>
    <t>23. BOILER MANUFACTURE CONTROLLER LOGIC TO INCLUDE SWITCHING FROM MANAGER  BOILER TO A BACKUP MANAGER BOILER AUTOMATICALLY.</t>
  </si>
  <si>
    <t>AERCO Benchmark Standard with EDGE[i] Series Boiler Schedules</t>
  </si>
  <si>
    <t>BMK STANDARD 6000 w/ EDGE[i]</t>
  </si>
  <si>
    <t xml:space="preserve">6. COMBUSTION O2 LEVELS SHALL NOT EXCEED 7% THROUGHOUT ENTIRE FIRING RANGE. </t>
  </si>
  <si>
    <t>8. PROVIDE BOILER SEQUENCING WITH HW RESET</t>
  </si>
  <si>
    <t>11. BOILER MANUFACTURE TO PROVIDE 10- YEAR NON-PRORATED HEAT EXCHANGER WARRANTY</t>
  </si>
  <si>
    <t>13. BOILER MANUFACTURE TO PROVIDE LETTER OF GUARANTEE FOR AS BUILT FLUE AND COMBUSTION AIR INSTALLATION</t>
  </si>
  <si>
    <t>15. ALTERNATE MANUFACTURES MUST COMPLY WITH ALL BASIS OF DESIGN PERFORMANCE, SAFETY, DURABILITY WARRANTY AND SYSTEM DESIGN REQUIREMENTS</t>
  </si>
  <si>
    <t>9. BOILER SHALL BE EQUIPPED WITH COMBUSTION AIR TEMPERATURE COMPENSATION TO AUTOMATICALLY COMPENSATE FOR AIR DENSITY CHANGES BY ADJUSTING OXYGEN AND OPTIMIZE THE COMBUSTION EFFICIENCY UNDER ALL SEASONAL TEMPERATURE CHANGES.</t>
  </si>
  <si>
    <t>4. BOILER SHALL UTILIZIE NON-METALLIC VENT</t>
  </si>
  <si>
    <t>12. BOILER MANUFACTURE TO PROVIDE 2- YEAR NON-PRORATED CONTROLLER WARRANTY</t>
  </si>
  <si>
    <t>14. PROVIDE CONDENSATE NEUTRALIZER FOR EACH BOILER AND COMMON FLUE DRAINS</t>
  </si>
  <si>
    <t>5. CONTROLLER SHALL DISPLAY AN ALERT WHEN O2 LEVEL IS ABOVE OR BELOW CRITICAL VALUES.</t>
  </si>
  <si>
    <t>7. BOILER MANUFACTURER TO PROVIDE AND CONTROL, FIELD INSTALLED, MOTORIZED ISOLATION VALVES ON EACH BOILER</t>
  </si>
  <si>
    <t>10. BOILER STAGING POINT NOT TO EXCEED 40%</t>
  </si>
  <si>
    <r>
      <rPr>
        <b/>
        <u/>
        <sz val="12"/>
        <color theme="1"/>
        <rFont val="Calibri (Body)"/>
      </rPr>
      <t>Schedule Selector Instructions:</t>
    </r>
    <r>
      <rPr>
        <sz val="12"/>
        <color theme="1"/>
        <rFont val="Calibri"/>
        <family val="2"/>
        <scheme val="minor"/>
      </rPr>
      <t xml:space="preserve">
</t>
    </r>
    <r>
      <rPr>
        <i/>
        <u/>
        <sz val="12"/>
        <color theme="1"/>
        <rFont val="Calibri"/>
        <family val="2"/>
        <scheme val="minor"/>
      </rPr>
      <t xml:space="preserve">
</t>
    </r>
    <r>
      <rPr>
        <b/>
        <i/>
        <sz val="12"/>
        <color theme="1"/>
        <rFont val="Calibri (Body)"/>
      </rPr>
      <t>Step 1:</t>
    </r>
    <r>
      <rPr>
        <b/>
        <sz val="12"/>
        <color theme="1"/>
        <rFont val="Calibri"/>
        <family val="2"/>
        <scheme val="minor"/>
      </rPr>
      <t xml:space="preserve"> </t>
    </r>
    <r>
      <rPr>
        <sz val="12"/>
        <color theme="1"/>
        <rFont val="Calibri"/>
        <family val="2"/>
        <scheme val="minor"/>
      </rPr>
      <t xml:space="preserve">Select "CLICK HERE TO SELECT REQUIRED BOILER SIZE" and use the drop down menu to select the appropriate boiler model number.
</t>
    </r>
    <r>
      <rPr>
        <b/>
        <i/>
        <sz val="12"/>
        <color theme="1"/>
        <rFont val="Calibri"/>
        <family val="2"/>
        <scheme val="minor"/>
      </rPr>
      <t>Step 2:</t>
    </r>
    <r>
      <rPr>
        <sz val="12"/>
        <color theme="1"/>
        <rFont val="Calibri"/>
        <family val="2"/>
        <scheme val="minor"/>
      </rPr>
      <t xml:space="preserve"> The schedule will auto populate, any cell with </t>
    </r>
    <r>
      <rPr>
        <sz val="12"/>
        <color rgb="FFFF0000"/>
        <rFont val="Calibri (Body)"/>
      </rPr>
      <t>RED</t>
    </r>
    <r>
      <rPr>
        <sz val="12"/>
        <color theme="1"/>
        <rFont val="Calibri"/>
        <family val="2"/>
        <scheme val="minor"/>
      </rPr>
      <t xml:space="preserve"> text requires editing. Notes in </t>
    </r>
    <r>
      <rPr>
        <sz val="12"/>
        <color rgb="FFFF0000"/>
        <rFont val="Calibri (Body)"/>
      </rPr>
      <t>RED</t>
    </r>
    <r>
      <rPr>
        <sz val="12"/>
        <color theme="1"/>
        <rFont val="Calibri"/>
        <family val="2"/>
        <scheme val="minor"/>
      </rPr>
      <t xml:space="preserve"> are optional.
</t>
    </r>
    <r>
      <rPr>
        <b/>
        <i/>
        <sz val="12"/>
        <color theme="1"/>
        <rFont val="Calibri"/>
        <family val="2"/>
        <scheme val="minor"/>
      </rPr>
      <t xml:space="preserve">Step 3: </t>
    </r>
    <r>
      <rPr>
        <sz val="12"/>
        <color theme="1"/>
        <rFont val="Calibri"/>
        <family val="2"/>
        <scheme val="minor"/>
      </rPr>
      <t>C</t>
    </r>
    <r>
      <rPr>
        <sz val="12"/>
        <color theme="1"/>
        <rFont val="Calibri"/>
        <family val="2"/>
        <scheme val="minor"/>
      </rPr>
      <t xml:space="preserve">opy and paste the completed schedule into the program of your choice.
</t>
    </r>
  </si>
  <si>
    <t>AERCO Benchmark with EDGE[ii] Series Boiler Schedules</t>
  </si>
  <si>
    <t>BMK 6000 w/ EDGE[ii]</t>
  </si>
  <si>
    <t>AERCO MFC Series Boiler Schedules</t>
  </si>
  <si>
    <t>MFC 8000</t>
  </si>
  <si>
    <t>NET OUTPUT (MBH) (160/100 DEG F RWT)</t>
  </si>
  <si>
    <t>EFFICIENCY
(%)</t>
  </si>
  <si>
    <t>HP
BLOWER MOTOR/
OIL PUMP</t>
  </si>
  <si>
    <t>MH61241</t>
  </si>
  <si>
    <t>4. PROVIDE BOILER SEQUENCER WITH HW RESET, RUNTIME EQUALIZATION, AND MODBUS BAS COMMUNICATION</t>
  </si>
  <si>
    <t>6. BOILER MANUFACTURE TO PROVIDE 5-YEAR NON-PRORATED HEAT EXCHANGER WARRANTY</t>
  </si>
  <si>
    <t>8. ALTERNATE MANUFACTURES MUST COMPLY WITH ALL BASIS OF DESIGN PERFORMANCE, SAFETY, DURABILITY WARRANTY AND SYSTEM DESIGN REQUIREMENTS</t>
  </si>
  <si>
    <t xml:space="preserve">3. COMBUSTION O2 LEVELS SHALL NOT EXCEED 6% THROUGHOUT ENTIRE FIRING RANGE. </t>
  </si>
  <si>
    <t>5. THE BOILER MUST HAVE A FACTORY INSTALLED DUAL RETURN SYSTEM TO INCREASE THE PLANT EFFICIENCY</t>
  </si>
  <si>
    <t>7. BOILER MANUFACTURE TO PROVIDE LETTER OF GUARANTEE FOR AS BUILT FLUE AND COMBUSTION AIR INSTALLATION</t>
  </si>
  <si>
    <t>9. PROVIDE CONDENSATE NEUTRALIZER FOR EACH BOILER AND COMMON FLUE DRAINS</t>
  </si>
  <si>
    <t>AERCO AM Series Boiler Schedules</t>
  </si>
  <si>
    <r>
      <t>VERSION 2.4</t>
    </r>
    <r>
      <rPr>
        <sz val="12"/>
        <color rgb="FF377AC2"/>
        <rFont val="Calibri (Body)"/>
      </rPr>
      <t>__</t>
    </r>
  </si>
  <si>
    <t>AM 1000</t>
  </si>
  <si>
    <t>NET OUTPUT (MBH) (160/60 DEG F RWT)</t>
  </si>
  <si>
    <t>NUMBER OF     BURNER MODULES</t>
  </si>
  <si>
    <t>DESIGN        DELTA T         (DEG F)</t>
  </si>
  <si>
    <t>PRESSURE DROP AT MAX FLOW            (FT. HD.)</t>
  </si>
  <si>
    <t>MIN/MAX GAS INLET PRESSURE            (IN W.C.)</t>
  </si>
  <si>
    <t>DIMENSIONS            L x W x H (IN)</t>
  </si>
  <si>
    <t>CONDENSING WATER TUBE</t>
  </si>
  <si>
    <t>1. INTEGRAL CONDENSATE NEUTRALIZATION</t>
  </si>
  <si>
    <t xml:space="preserve">5. COMBUSTION O2 LEVELS SHALL NOT EXCEED 7% THROUGHOUT ENTIRE FIRING RANGE. </t>
  </si>
  <si>
    <t>8. BOILER MANUFACTURE TO PROVIDE 7- YEAR NON-PRORATED HEAT EXCHANGER WARRANTY</t>
  </si>
  <si>
    <t>10. BOILER MANUFACTURE TO PROVIDE LETTER OF GUARANTEE FOR AS BUILT FLUE AND COMBUSTION AIR INSTALLATION</t>
  </si>
  <si>
    <t>3. MAX NOX: 20 PPM, 3% O2 CORRECTED</t>
  </si>
  <si>
    <t>6. AM BOILER  COMMUNICATION: INTEGRATED MODBUS</t>
  </si>
  <si>
    <t>9. MANUFACTURER TO INCLUDE INSTALLATION KIT CONTAINING: BOILER PUMP, CIRCUIT SETTER, STRAINER &amp; ISOLATION VALVE</t>
  </si>
  <si>
    <t>11. ALTERNATE MANUFACTURERS MUST COMPLY WITH ALL PERFORMANCE, SAFETY, DURABILITY, WARRANTY, AND SYSTEM DESIGN REQUIREMENTS AS DETAILED IN CONTRACT SPECIFICATIONS.</t>
  </si>
  <si>
    <t>7. PROVIDE BOILER SEQUENCER FOR MULTIPLE BOILER INSTALLATIONS</t>
  </si>
  <si>
    <r>
      <rPr>
        <b/>
        <u/>
        <sz val="12"/>
        <color theme="1"/>
        <rFont val="Calibri (Body)"/>
      </rPr>
      <t>Schedule Selector Instructions:</t>
    </r>
    <r>
      <rPr>
        <sz val="12"/>
        <color theme="1"/>
        <rFont val="Calibri"/>
        <family val="2"/>
        <scheme val="minor"/>
      </rPr>
      <t xml:space="preserve">
</t>
    </r>
    <r>
      <rPr>
        <i/>
        <u/>
        <sz val="12"/>
        <color theme="1"/>
        <rFont val="Calibri"/>
        <family val="2"/>
        <scheme val="minor"/>
      </rPr>
      <t xml:space="preserve">
</t>
    </r>
    <r>
      <rPr>
        <b/>
        <i/>
        <sz val="12"/>
        <color theme="1"/>
        <rFont val="Calibri (Body)"/>
      </rPr>
      <t>Step 1:</t>
    </r>
    <r>
      <rPr>
        <b/>
        <sz val="12"/>
        <color theme="1"/>
        <rFont val="Calibri"/>
        <family val="2"/>
        <scheme val="minor"/>
      </rPr>
      <t xml:space="preserve"> </t>
    </r>
    <r>
      <rPr>
        <sz val="12"/>
        <color theme="1"/>
        <rFont val="Calibri"/>
        <family val="2"/>
        <scheme val="minor"/>
      </rPr>
      <t xml:space="preserve">Select "CLICK HERE TO SELECT REQUIRED BOILER SIZE" and use the drop down menu to select the appropriate boiler model number.
</t>
    </r>
    <r>
      <rPr>
        <b/>
        <i/>
        <sz val="12"/>
        <color theme="1"/>
        <rFont val="Calibri"/>
        <family val="2"/>
        <scheme val="minor"/>
      </rPr>
      <t>Step 2:</t>
    </r>
    <r>
      <rPr>
        <sz val="12"/>
        <color theme="1"/>
        <rFont val="Calibri"/>
        <family val="2"/>
        <scheme val="minor"/>
      </rPr>
      <t xml:space="preserve"> The schedule will auto populate, any cell with </t>
    </r>
    <r>
      <rPr>
        <sz val="12"/>
        <color rgb="FFFF0000"/>
        <rFont val="Calibri (Body)"/>
      </rPr>
      <t>RED</t>
    </r>
    <r>
      <rPr>
        <sz val="12"/>
        <color theme="1"/>
        <rFont val="Calibri"/>
        <family val="2"/>
        <scheme val="minor"/>
      </rPr>
      <t xml:space="preserve"> text requires editing.
</t>
    </r>
    <r>
      <rPr>
        <b/>
        <i/>
        <sz val="12"/>
        <color theme="1"/>
        <rFont val="Calibri"/>
        <family val="2"/>
        <scheme val="minor"/>
      </rPr>
      <t xml:space="preserve">Step 3: </t>
    </r>
    <r>
      <rPr>
        <sz val="12"/>
        <color theme="1"/>
        <rFont val="Calibri"/>
        <family val="2"/>
        <scheme val="minor"/>
      </rPr>
      <t>Copy</t>
    </r>
    <r>
      <rPr>
        <sz val="12"/>
        <color theme="1"/>
        <rFont val="Calibri"/>
        <family val="2"/>
        <scheme val="minor"/>
      </rPr>
      <t xml:space="preserve"> and paste the completed schedule into the program of your choice.
</t>
    </r>
  </si>
  <si>
    <t>Relief Valve Information:</t>
  </si>
  <si>
    <t>Relief Valve Pressure = 15 PSI higher than the Operating Pressure rounded up to the nearest valve rating</t>
  </si>
  <si>
    <t>All AERCO AM Boilers ship standard with 50 PSIG relief valves. For systems operating at pressures in excess of 35 PSIG the relief valves must be provided and installed by the installing contractor. 
The number of relief valves per boiler equals the number of burner modules (see schedule above).</t>
  </si>
  <si>
    <t>AERCO MLX EXT Series Boiler Schedules</t>
  </si>
  <si>
    <t>MLX EXT 3000 2S</t>
  </si>
  <si>
    <t>CAST AL</t>
  </si>
  <si>
    <t>MH49893</t>
  </si>
  <si>
    <t xml:space="preserve">5.BOILER SHALL BE RATED FOR OUTDDOR INSTALLATION. </t>
  </si>
  <si>
    <t>9. BOILER STAGING POINT NOT TO EXCEED 20%</t>
  </si>
  <si>
    <t>12. BOILER MANUFACTURE TO PROVIDE LETTER OF GUARANTEE FOR AS BUILT FLUE AND COMBUSTION AIR INSTALLATION</t>
  </si>
  <si>
    <t>14. ALTERNATE MANUFACTURES MUST COMPLY WITH ALL BASIS OF DESIGN PERFORMANCE, SAFETY, DURABILITY WARRANTY AND SYSTEM DESIGN REQUIREMENTS</t>
  </si>
  <si>
    <t xml:space="preserve">6. COMBUSTION O2 LEVELS SHALL NOT EXCEED 6% THROUGHOUT ENTIRE FIRING RANGE. </t>
  </si>
  <si>
    <t>10. BOILER MANUFACTURE TO PROVIDE 10- YEAR NON-PRORATED HEAT EXCHANGER WARRANTY</t>
  </si>
  <si>
    <t>13. PROVIDE CONDENSATE NEUTRALIZER FOR EACH BOILER AND COMMON FLUE DRAINS</t>
  </si>
  <si>
    <t>7. MLX EXT COMMUNICATION: INTEGRATED MODBUS</t>
  </si>
  <si>
    <t>11. BOILER MANUFACTURE TO PROVIDE 5- YEAR NON-PRORATED CONTROLLER WARRANTY</t>
  </si>
  <si>
    <t xml:space="preserve">All MLX EXT Boilers ship standard with 80 PSIG relief valves. For systems operating at pressures in excess of 65 PSIG the relief valves must be provided and installed by the installing contractor. </t>
  </si>
  <si>
    <t>PRESSURE DROP</t>
  </si>
  <si>
    <t>UL LISTING NO.</t>
  </si>
  <si>
    <t>MINIMUM TURNDOWN</t>
  </si>
  <si>
    <t>MIN Nox</t>
  </si>
  <si>
    <t>CLICK HERE TO SELECT REQUIRED BOILER SIZE</t>
  </si>
  <si>
    <t>30/50/75/100/150</t>
  </si>
  <si>
    <t>NATURAL GAS</t>
  </si>
  <si>
    <t>2. MINIMUM TURNDOWN: --</t>
  </si>
  <si>
    <t>3. MAX NOX: --</t>
  </si>
  <si>
    <t>BMK PLATINUM 750 w/ EDGE[ii]</t>
  </si>
  <si>
    <t>653 / 720</t>
  </si>
  <si>
    <t>25 / 175</t>
  </si>
  <si>
    <t>3.0 PSIG @ 100 GPM</t>
  </si>
  <si>
    <t>4 - 14</t>
  </si>
  <si>
    <t>120/1/60</t>
  </si>
  <si>
    <t>34 x 28 x 78</t>
  </si>
  <si>
    <t>BMK PLATINUM 750 WITH EDGE[ii]</t>
  </si>
  <si>
    <t>2. MINIMUM TURNDOWN: 15:1</t>
  </si>
  <si>
    <t>BMK PLATINUM 1000 w/ EDGE[ii]</t>
  </si>
  <si>
    <t>875 / 975</t>
  </si>
  <si>
    <t>BMK PLATINUM 1000 WITH EDGE[ii]</t>
  </si>
  <si>
    <t>2. MINIMUM TURNDOWN: 20:1</t>
  </si>
  <si>
    <t>BMK PLATINUM 1500 w/ EDGE[ii]</t>
  </si>
  <si>
    <t>1305 / 1425</t>
  </si>
  <si>
    <t>25 / 250</t>
  </si>
  <si>
    <t>3.0 PSIG @ 170 GPM</t>
  </si>
  <si>
    <t>34 x 44 x 78</t>
  </si>
  <si>
    <t>BMK PLATINUM 1500 WITH EDGE[ii]</t>
  </si>
  <si>
    <t>BMK PLATINUM 2000 w/ EDGE[ii]</t>
  </si>
  <si>
    <t>1740 / 1900</t>
  </si>
  <si>
    <t>25 / 350</t>
  </si>
  <si>
    <t>58 x 28 x 78</t>
  </si>
  <si>
    <t>BMK PLATINUM 2000 WITH EDGE[ii]</t>
  </si>
  <si>
    <t>BMK PLATINUM 2500 w/ EDGE[ii]</t>
  </si>
  <si>
    <t>2175 / 2375</t>
  </si>
  <si>
    <t>3.0 PSIG @ 218 GPM</t>
  </si>
  <si>
    <t>208/3/60
460/3/60</t>
  </si>
  <si>
    <t>10
5</t>
  </si>
  <si>
    <t>3.0
3.2</t>
  </si>
  <si>
    <t>68 x 28 x 78</t>
  </si>
  <si>
    <t>BMK PLATINUM 2500 WITH EDGE[ii]</t>
  </si>
  <si>
    <t>3. MAX NOX: 30 PPM, 3% O2 CORRECTED</t>
  </si>
  <si>
    <t>BMK PLATINUM 3000 w/ EDGE[ii]</t>
  </si>
  <si>
    <t>2625 / 2925</t>
  </si>
  <si>
    <t>25 / 375</t>
  </si>
  <si>
    <t>3.0 PSIG @ 261 GPM</t>
  </si>
  <si>
    <t>BMK PLATINUM 3000 WITH EDGE[ii]</t>
  </si>
  <si>
    <t>3480/3840</t>
  </si>
  <si>
    <t>35 / 500</t>
  </si>
  <si>
    <t>5.0 PSIG @ 475GPM</t>
  </si>
  <si>
    <t>23
12</t>
  </si>
  <si>
    <t>11
11</t>
  </si>
  <si>
    <t>80 x 34 x 79</t>
  </si>
  <si>
    <t>BMK PLATINUM 4000 WITH EDGE[ii]</t>
  </si>
  <si>
    <t>BMK PLATINUM 5000N w/ EDGE[ii]</t>
  </si>
  <si>
    <t>4341/4790</t>
  </si>
  <si>
    <t>BMK PLATINUM 5000N WITH EDGE[ii]</t>
  </si>
  <si>
    <t>BMK PLATINUM 5000 w/ EDGE[ii]</t>
  </si>
  <si>
    <t>4350 / 4725</t>
  </si>
  <si>
    <t>80 
150</t>
  </si>
  <si>
    <t>75 / 600</t>
  </si>
  <si>
    <t>4.0 PSIG @ 500 GPM</t>
  </si>
  <si>
    <t>4 - 10
14 - 56</t>
  </si>
  <si>
    <t>208/3/60
460/3/60
575/3/60</t>
  </si>
  <si>
    <t>19
9
7</t>
  </si>
  <si>
    <t>108 x 35 x 79</t>
  </si>
  <si>
    <t>BMK PLATINUM 5000 WITH EDGE[ii]</t>
  </si>
  <si>
    <t>2. MINIMUM TURNDOWN: 12.5:1</t>
  </si>
  <si>
    <t>5220 / 5670</t>
  </si>
  <si>
    <t>BMK PLATINUM 6000 WITH EDGE[ii]</t>
  </si>
  <si>
    <t>BMK STANDARD 750 w/ EDGE[i]</t>
  </si>
  <si>
    <t>BMK STANDARD 750 WITH EDGE[i]</t>
  </si>
  <si>
    <t>BMK STANDARD 1000 w/ EDGE[i]</t>
  </si>
  <si>
    <t>BMK STANDARD 1000 WITH EDGE[i]</t>
  </si>
  <si>
    <t>BMK STANDARD 1500 w/ EDGE[i]</t>
  </si>
  <si>
    <t>BMK STANDARD 1500 WITH EDGE[i]</t>
  </si>
  <si>
    <t>BMK STANDARD 2000 w/ EDGE[i]</t>
  </si>
  <si>
    <t>BMK STANDARD 2000 WITH EDGE[i]</t>
  </si>
  <si>
    <t>BMK STANDARD 2500 w/ EDGE[i]</t>
  </si>
  <si>
    <t>BMK STANDARD 2500 WITH EDGE[i]</t>
  </si>
  <si>
    <t>BMK STANDARD 3000 w/ EDGE[i]</t>
  </si>
  <si>
    <t>BMK STANDARD 3000 WITH EDGE[i]</t>
  </si>
  <si>
    <t>BMK STANDARD 4000 w/ EDGE[i]</t>
  </si>
  <si>
    <t>BMK STANDARD 4000 WITH EDGE[i]</t>
  </si>
  <si>
    <t>BMK STANDARD 5000N w/ EDGE[i]</t>
  </si>
  <si>
    <t>BMK STANDARD 5000N WITH EDGE[i]</t>
  </si>
  <si>
    <t>BMK STANDARD 5000 w/ EDGE[i]</t>
  </si>
  <si>
    <t>BMK STANDARD 5000 WITH EDGE[i]</t>
  </si>
  <si>
    <t>BMK STANDARD 6000 WITH EDGE[i]</t>
  </si>
  <si>
    <t>BMK 750 w/ EDGE[ii]</t>
  </si>
  <si>
    <t>BMK 750 WITH EDGE[ii]</t>
  </si>
  <si>
    <t>BMK 1000 w/ EDGE[ii]</t>
  </si>
  <si>
    <t>BMK 1000 WITH EDGE[ii]</t>
  </si>
  <si>
    <t>BMK 1500 w/ EDGE[ii]</t>
  </si>
  <si>
    <t>BMK 1500 WITH EDGE[ii]</t>
  </si>
  <si>
    <t>BMK 2000 w/ EDGE[ii]</t>
  </si>
  <si>
    <t>BMK 2000 WITH EDGE[ii]</t>
  </si>
  <si>
    <t>BMK 2500 w/ EDGE[ii]</t>
  </si>
  <si>
    <t>BMK 2500 WITH EDGE[ii]</t>
  </si>
  <si>
    <t>BMK 3000 w/ EDGE[ii]</t>
  </si>
  <si>
    <t>BMK 3000 WITH EDGE[ii]</t>
  </si>
  <si>
    <t>BMK 4000 w/ EDGE[ii]</t>
  </si>
  <si>
    <t>BMK 4000 WITH EDGE[ii]</t>
  </si>
  <si>
    <t>BMK 5000N w/ EDGE[ii]</t>
  </si>
  <si>
    <t>BMK 5000N WITH EDGE[ii]</t>
  </si>
  <si>
    <t>BMK 5000 w/ EDGE[ii]</t>
  </si>
  <si>
    <t>BMK 5000 WITH EDGE[ii]</t>
  </si>
  <si>
    <t>BMK 6000 WITH EDGE[ii]</t>
  </si>
  <si>
    <t>3 / 13</t>
  </si>
  <si>
    <t>CSA/CSD-1</t>
  </si>
  <si>
    <t>MBH input</t>
  </si>
  <si>
    <t>Eff 160 return</t>
  </si>
  <si>
    <t>Eff 60 return</t>
  </si>
  <si>
    <t>BTU/hr to BHP conv</t>
  </si>
  <si>
    <t>BHP 160 RWT</t>
  </si>
  <si>
    <t>BHP 60 RWT</t>
  </si>
  <si>
    <t>NET OUTPUT MBH 160 RWT</t>
  </si>
  <si>
    <t>NET OUTPUT MBH 60 RWT</t>
  </si>
  <si>
    <t>AM 399</t>
  </si>
  <si>
    <t>11 / 40</t>
  </si>
  <si>
    <t>34.8 X 23.6 X 45.7</t>
  </si>
  <si>
    <t>2. MINIMUM TURNDOWN: 8:1</t>
  </si>
  <si>
    <t>AM 500</t>
  </si>
  <si>
    <t>12 / 40</t>
  </si>
  <si>
    <t>2. MINIMUM TURNDOWN: 10:1</t>
  </si>
  <si>
    <t>AM 750</t>
  </si>
  <si>
    <t>14 / 60</t>
  </si>
  <si>
    <t>35.3 X 23.6 X 71.3</t>
  </si>
  <si>
    <t>18 / 80</t>
  </si>
  <si>
    <t>30/50/60/75/80</t>
  </si>
  <si>
    <t>NAT. GAS/
#2 FUEL OIL</t>
  </si>
  <si>
    <t>2. MAX NOX: --</t>
  </si>
  <si>
    <t>Eff 100 return</t>
  </si>
  <si>
    <t>BHP 100 RWT</t>
  </si>
  <si>
    <t>NET OUTPUT MBH 100 RWT</t>
  </si>
  <si>
    <t>MFC 3000</t>
  </si>
  <si>
    <t>20 / 350</t>
  </si>
  <si>
    <t>2.4 PSIG @ 300 GPM</t>
  </si>
  <si>
    <t>14 - 28</t>
  </si>
  <si>
    <t>11.4
5.8
4.5</t>
  </si>
  <si>
    <t>3.0 / 1.0</t>
  </si>
  <si>
    <t>172 x 54 x 84</t>
  </si>
  <si>
    <t>2. MAX NOX: 30 PPM, 3% O2 CORRECTED</t>
  </si>
  <si>
    <t>MFC 4000</t>
  </si>
  <si>
    <t>27 / 520</t>
  </si>
  <si>
    <t>1.0 PSIG @ 400 GPM</t>
  </si>
  <si>
    <t>16.8
7.6
6.2</t>
  </si>
  <si>
    <t>7.5 / 1.0</t>
  </si>
  <si>
    <t>174 x 59 x 88</t>
  </si>
  <si>
    <t>MFC 5000</t>
  </si>
  <si>
    <t>33 / 610</t>
  </si>
  <si>
    <t>1.3 PSIG @ 500 GPM</t>
  </si>
  <si>
    <t>186 x 59 x 88</t>
  </si>
  <si>
    <t>MFC 6000</t>
  </si>
  <si>
    <t>40 / 750</t>
  </si>
  <si>
    <t>1.9 PSIG @ 600 GPM</t>
  </si>
  <si>
    <t>28 - 56</t>
  </si>
  <si>
    <t>193 x 71 x 101</t>
  </si>
  <si>
    <t>2. MAX NOX: 40 PPM, 3% O2 CORRECTED2</t>
  </si>
  <si>
    <t>53 / 1000</t>
  </si>
  <si>
    <t>1.1 PSIG @ 800 GPM</t>
  </si>
  <si>
    <t>25.8
11.7
10.2</t>
  </si>
  <si>
    <t>7.5 / 2.0</t>
  </si>
  <si>
    <t>220 x 71 x 102</t>
  </si>
  <si>
    <t>2. MAX NOX: 40 PPM, 3% O2 CORRECTED</t>
  </si>
  <si>
    <t>MFC 10000</t>
  </si>
  <si>
    <t>67 / 1100</t>
  </si>
  <si>
    <t>1.7 PSIG @ 1000 GPM</t>
  </si>
  <si>
    <t>240 x 71 x 102</t>
  </si>
  <si>
    <t>WATER HEATER SCHEDULE</t>
  </si>
  <si>
    <t>WATER HEATER TYPE</t>
  </si>
  <si>
    <t>CAPACITY (GAL)</t>
  </si>
  <si>
    <t>PRESSURE RATING (PSIG)</t>
  </si>
  <si>
    <t>HEATER MIN/MAX WATER FLOW (GPM)</t>
  </si>
  <si>
    <t>HW-1..HW-X</t>
  </si>
  <si>
    <t>DOMESTIC</t>
  </si>
  <si>
    <t>0/50</t>
  </si>
  <si>
    <t>INN 600</t>
  </si>
  <si>
    <t>INN 800</t>
  </si>
  <si>
    <t>INN 1060</t>
  </si>
  <si>
    <t>INN 1350</t>
  </si>
  <si>
    <t>Eff 80 return</t>
  </si>
  <si>
    <t>BHP 80 RWT</t>
  </si>
  <si>
    <t>NET OUTPUT MBH 80 RWT</t>
  </si>
  <si>
    <t>MLX EXT 450 2S</t>
  </si>
  <si>
    <t>18 / 42</t>
  </si>
  <si>
    <t>11.8 FT.HD. @ 42 GPM</t>
  </si>
  <si>
    <t>3.5 - 10.5</t>
  </si>
  <si>
    <t>30.3 x 30 x 45.3</t>
  </si>
  <si>
    <t>2. MINIMUM TURNDOWN: 10.5:1</t>
  </si>
  <si>
    <t>MLX EXT 600 2S</t>
  </si>
  <si>
    <t>24 / 56</t>
  </si>
  <si>
    <t>9.2 FT.HD. @ 56 GPM</t>
  </si>
  <si>
    <t>30.3 x 40.6 x 45.3</t>
  </si>
  <si>
    <t>2. MINIMUM TURNDOWN: 14:1</t>
  </si>
  <si>
    <t>MLX EXT 800 2S</t>
  </si>
  <si>
    <t>30 / 71</t>
  </si>
  <si>
    <t>9.7 FT.HD. @ 71 GPM</t>
  </si>
  <si>
    <t>2. MINIMUM TURNDOWN: 17.5:1</t>
  </si>
  <si>
    <t>MLX EXT 1100 2S</t>
  </si>
  <si>
    <t>42 / 99</t>
  </si>
  <si>
    <t>9.5 FT.HD. @ 99 GPM</t>
  </si>
  <si>
    <t>30.3 x 51.2 x 45.3</t>
  </si>
  <si>
    <t>2. MINIMUM TURNDOWN: 24.5:1</t>
  </si>
  <si>
    <t>MLX EXT 1500 2S</t>
  </si>
  <si>
    <t>56 / 113</t>
  </si>
  <si>
    <t>7.9 FT.HD. @ 113 GPM</t>
  </si>
  <si>
    <t>4 - 10.5</t>
  </si>
  <si>
    <t>38.3 x 42.8 x 57.2</t>
  </si>
  <si>
    <t>2. MINIMUM TURNDOWN: 19.6:1</t>
  </si>
  <si>
    <t>MLX EXT 2300 2S</t>
  </si>
  <si>
    <t>84 / 169</t>
  </si>
  <si>
    <t>16.4 FT.HD. @ 169 GPM</t>
  </si>
  <si>
    <t>38.3 x 53.3 x 57.2</t>
  </si>
  <si>
    <t>2. MINIMUM TURNDOWN: 29:1</t>
  </si>
  <si>
    <t>MLX EXT 2600 2S</t>
  </si>
  <si>
    <t>99 / 197</t>
  </si>
  <si>
    <t>17.8 FT.HD. @ 197 GPM</t>
  </si>
  <si>
    <t>38.3 x 63.9 x 57.2</t>
  </si>
  <si>
    <t>2. MINIMUM TURNDOWN: 34:1</t>
  </si>
  <si>
    <t>113 / 225</t>
  </si>
  <si>
    <t>13.2 FT.HD. @ 225 GPM</t>
  </si>
  <si>
    <t>2. MINIMUM TURNDOWN: 39:1</t>
  </si>
  <si>
    <t>RV Safety %</t>
  </si>
  <si>
    <t>Design Pressure</t>
  </si>
  <si>
    <t>Min Operating press</t>
  </si>
  <si>
    <t>Max Operating Press</t>
  </si>
  <si>
    <t>Relief Valve</t>
  </si>
  <si>
    <t>BMKP EDGE Eval</t>
  </si>
  <si>
    <t>BMKP EDGEii</t>
  </si>
  <si>
    <t>BMK EDGEii</t>
  </si>
  <si>
    <t>BMKP CMORE Eval</t>
  </si>
  <si>
    <t>BMK CMORE Eval</t>
  </si>
  <si>
    <t>MFC Eval</t>
  </si>
  <si>
    <t>Consult Aerco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</si>
</sst>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quot;PSI&quot;\ "/>
  </numFmts>
  <fonts count="35">
    <font>
      <sz val="12"/>
      <color theme="1"/>
      <name val="Calibri"/>
      <family val="2"/>
      <scheme val="minor"/>
    </font>
    <font>
      <sz val="8"/>
      <color theme="1"/>
      <name val="Arial Narrow"/>
      <family val="2"/>
    </font>
    <font>
      <u/>
      <sz val="8"/>
      <color theme="1"/>
      <name val="Arial Narrow"/>
      <family val="2"/>
    </font>
    <font>
      <u/>
      <sz val="8"/>
      <color theme="1"/>
      <name val="Calibri"/>
      <family val="2"/>
      <scheme val="minor"/>
    </font>
    <font>
      <sz val="8"/>
      <color theme="1"/>
      <name val="Calibri"/>
      <family val="2"/>
      <scheme val="minor"/>
    </font>
    <font>
      <sz val="12"/>
      <color theme="0"/>
      <name val="Arial Narrow"/>
      <family val="2"/>
    </font>
    <font>
      <sz val="8"/>
      <color rgb="FFFF0000"/>
      <name val="Arial Narrow"/>
      <family val="2"/>
    </font>
    <font>
      <sz val="12"/>
      <color theme="0"/>
      <name val="Calibri"/>
      <family val="2"/>
      <scheme val="minor"/>
    </font>
    <font>
      <sz val="12"/>
      <color rgb="FFFF0000"/>
      <name val="Calibri (Body)"/>
    </font>
    <font>
      <b/>
      <sz val="18"/>
      <color theme="0"/>
      <name val="Calibri"/>
      <family val="2"/>
      <scheme val="minor"/>
    </font>
    <font>
      <sz val="6"/>
      <color theme="1"/>
      <name val="Calibri"/>
      <family val="2"/>
      <scheme val="minor"/>
    </font>
    <font>
      <u/>
      <sz val="12"/>
      <color theme="10"/>
      <name val="Calibri"/>
      <family val="2"/>
      <scheme val="minor"/>
    </font>
    <font>
      <u/>
      <sz val="12"/>
      <color theme="11"/>
      <name val="Calibri"/>
      <family val="2"/>
      <scheme val="minor"/>
    </font>
    <font>
      <sz val="8"/>
      <color rgb="FF000000"/>
      <name val="Arial Narrow"/>
      <family val="2"/>
    </font>
    <font>
      <sz val="14"/>
      <color theme="1"/>
      <name val="Calibri"/>
      <family val="2"/>
      <scheme val="minor"/>
    </font>
    <font>
      <b/>
      <i/>
      <sz val="12"/>
      <color theme="0"/>
      <name val="Calibri (Body)"/>
    </font>
    <font>
      <sz val="12"/>
      <color rgb="FFFF0000"/>
      <name val="Calibri"/>
      <family val="2"/>
      <scheme val="minor"/>
    </font>
    <font>
      <b/>
      <sz val="12"/>
      <color theme="1"/>
      <name val="Calibri"/>
      <family val="2"/>
      <scheme val="minor"/>
    </font>
    <font>
      <b/>
      <u/>
      <sz val="12"/>
      <color theme="0"/>
      <name val="Calibri"/>
      <family val="2"/>
      <scheme val="minor"/>
    </font>
    <font>
      <b/>
      <u/>
      <sz val="12"/>
      <color theme="1"/>
      <name val="Calibri (Body)"/>
    </font>
    <font>
      <i/>
      <u/>
      <sz val="12"/>
      <color theme="1"/>
      <name val="Calibri"/>
      <family val="2"/>
      <scheme val="minor"/>
    </font>
    <font>
      <b/>
      <i/>
      <sz val="12"/>
      <color theme="1"/>
      <name val="Calibri (Body)"/>
    </font>
    <font>
      <b/>
      <i/>
      <sz val="12"/>
      <color theme="1"/>
      <name val="Calibri"/>
      <family val="2"/>
      <scheme val="minor"/>
    </font>
    <font>
      <sz val="12"/>
      <color theme="1"/>
      <name val="Calibri (Body)"/>
    </font>
    <font>
      <b/>
      <u/>
      <sz val="12"/>
      <color theme="1"/>
      <name val="Calibri"/>
      <family val="2"/>
      <scheme val="minor"/>
    </font>
    <font>
      <sz val="10"/>
      <color theme="1"/>
      <name val="Arial Narrow"/>
      <family val="2"/>
    </font>
    <font>
      <b/>
      <sz val="12"/>
      <color rgb="FF3279C7"/>
      <name val="Calibri"/>
      <family val="2"/>
      <scheme val="minor"/>
    </font>
    <font>
      <sz val="12"/>
      <color rgb="FF377AC2"/>
      <name val="Calibri (Body)"/>
    </font>
    <font>
      <sz val="12"/>
      <color rgb="FF3279C7"/>
      <name val="Calibri (Body)"/>
    </font>
    <font>
      <sz val="8"/>
      <color rgb="FF000000"/>
      <name val="Calibri"/>
      <family val="2"/>
      <scheme val="minor"/>
    </font>
    <font>
      <sz val="8"/>
      <name val="Calibri"/>
      <family val="2"/>
      <scheme val="minor"/>
    </font>
    <font>
      <sz val="8"/>
      <name val="Arial Narrow"/>
      <family val="2"/>
    </font>
    <font>
      <sz val="12"/>
      <color theme="9" tint="0.59996337778862885"/>
      <name val="Calibri"/>
      <family val="2"/>
      <scheme val="minor"/>
    </font>
    <font>
      <sz val="12"/>
      <color theme="9" tint="0.59999389629810485"/>
      <name val="Calibri"/>
      <family val="2"/>
      <scheme val="minor"/>
    </font>
    <font>
      <b/>
      <sz val="12"/>
      <color rgb="FFFF0000"/>
      <name val="Calibri (Body)"/>
    </font>
  </fonts>
  <fills count="10">
    <fill>
      <patternFill patternType="none"/>
    </fill>
    <fill>
      <patternFill patternType="gray125"/>
    </fill>
    <fill>
      <patternFill patternType="solid">
        <fgColor theme="4"/>
        <bgColor indexed="64"/>
      </patternFill>
    </fill>
    <fill>
      <patternFill patternType="solid">
        <fgColor theme="9"/>
        <bgColor indexed="64"/>
      </patternFill>
    </fill>
    <fill>
      <patternFill patternType="solid">
        <fgColor rgb="FF377AC2"/>
        <bgColor indexed="64"/>
      </patternFill>
    </fill>
    <fill>
      <patternFill patternType="solid">
        <fgColor rgb="FF3279C7"/>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C000"/>
        <bgColor indexed="64"/>
      </patternFill>
    </fill>
  </fills>
  <borders count="4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style="medium">
        <color auto="1"/>
      </left>
      <right style="medium">
        <color auto="1"/>
      </right>
      <top/>
      <bottom style="medium">
        <color auto="1"/>
      </bottom>
      <diagonal/>
    </border>
    <border>
      <left style="thick">
        <color rgb="FF377AC2"/>
      </left>
      <right/>
      <top style="thick">
        <color rgb="FF377AC2"/>
      </top>
      <bottom/>
      <diagonal/>
    </border>
    <border>
      <left/>
      <right/>
      <top style="thick">
        <color rgb="FF377AC2"/>
      </top>
      <bottom/>
      <diagonal/>
    </border>
    <border>
      <left/>
      <right style="thick">
        <color rgb="FF377AC2"/>
      </right>
      <top style="thick">
        <color rgb="FF377AC2"/>
      </top>
      <bottom/>
      <diagonal/>
    </border>
    <border>
      <left style="thick">
        <color rgb="FF377AC2"/>
      </left>
      <right/>
      <top/>
      <bottom/>
      <diagonal/>
    </border>
    <border>
      <left/>
      <right style="thick">
        <color rgb="FF377AC2"/>
      </right>
      <top/>
      <bottom/>
      <diagonal/>
    </border>
    <border>
      <left style="thick">
        <color rgb="FF377AC2"/>
      </left>
      <right/>
      <top/>
      <bottom style="thick">
        <color rgb="FF377AC2"/>
      </bottom>
      <diagonal/>
    </border>
    <border>
      <left/>
      <right/>
      <top/>
      <bottom style="thick">
        <color rgb="FF377AC2"/>
      </bottom>
      <diagonal/>
    </border>
    <border>
      <left style="medium">
        <color rgb="FF3279C7"/>
      </left>
      <right/>
      <top style="medium">
        <color rgb="FF3279C7"/>
      </top>
      <bottom style="medium">
        <color rgb="FF3279C7"/>
      </bottom>
      <diagonal/>
    </border>
    <border>
      <left style="medium">
        <color rgb="FF377AC2"/>
      </left>
      <right/>
      <top style="medium">
        <color rgb="FF3279C7"/>
      </top>
      <bottom style="medium">
        <color rgb="FF3279C7"/>
      </bottom>
      <diagonal/>
    </border>
    <border>
      <left/>
      <right/>
      <top style="medium">
        <color rgb="FF3279C7"/>
      </top>
      <bottom style="medium">
        <color rgb="FF3279C7"/>
      </bottom>
      <diagonal/>
    </border>
    <border>
      <left/>
      <right style="medium">
        <color rgb="FF3279C7"/>
      </right>
      <top style="medium">
        <color rgb="FF3279C7"/>
      </top>
      <bottom style="medium">
        <color rgb="FF3279C7"/>
      </bottom>
      <diagonal/>
    </border>
    <border>
      <left/>
      <right/>
      <top style="medium">
        <color rgb="FF3279C7"/>
      </top>
      <bottom style="thick">
        <color theme="8"/>
      </bottom>
      <diagonal/>
    </border>
    <border>
      <left/>
      <right style="medium">
        <color rgb="FF3279C7"/>
      </right>
      <top style="medium">
        <color rgb="FF3279C7"/>
      </top>
      <bottom style="thick">
        <color theme="8"/>
      </bottom>
      <diagonal/>
    </border>
    <border>
      <left style="medium">
        <color rgb="FF3279C7"/>
      </left>
      <right/>
      <top/>
      <bottom/>
      <diagonal/>
    </border>
    <border>
      <left/>
      <right style="medium">
        <color rgb="FF3279C7"/>
      </right>
      <top/>
      <bottom/>
      <diagonal/>
    </border>
    <border>
      <left style="medium">
        <color rgb="FF3279C7"/>
      </left>
      <right/>
      <top/>
      <bottom style="medium">
        <color rgb="FF3279C7"/>
      </bottom>
      <diagonal/>
    </border>
    <border>
      <left/>
      <right/>
      <top/>
      <bottom style="medium">
        <color rgb="FF3279C7"/>
      </bottom>
      <diagonal/>
    </border>
    <border>
      <left/>
      <right style="medium">
        <color rgb="FF3279C7"/>
      </right>
      <top/>
      <bottom style="medium">
        <color rgb="FF3279C7"/>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ck">
        <color rgb="FF3279C7"/>
      </right>
      <top/>
      <bottom style="thick">
        <color rgb="FF3279C7"/>
      </bottom>
      <diagonal/>
    </border>
    <border>
      <left/>
      <right/>
      <top/>
      <bottom style="thick">
        <color rgb="FF3279C7"/>
      </bottom>
      <diagonal/>
    </border>
    <border>
      <left style="thin">
        <color indexed="64"/>
      </left>
      <right style="thin">
        <color indexed="64"/>
      </right>
      <top/>
      <bottom/>
      <diagonal/>
    </border>
  </borders>
  <cellStyleXfs count="17">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215">
    <xf numFmtId="0" fontId="0" fillId="0" borderId="0" xfId="0"/>
    <xf numFmtId="0" fontId="1" fillId="0" borderId="5" xfId="0" applyFont="1" applyBorder="1" applyAlignment="1">
      <alignment horizontal="center" vertical="center" wrapText="1"/>
    </xf>
    <xf numFmtId="0" fontId="5" fillId="2" borderId="0" xfId="0" applyFont="1" applyFill="1" applyAlignment="1">
      <alignment horizontal="center" vertical="center"/>
    </xf>
    <xf numFmtId="0" fontId="5" fillId="3" borderId="0" xfId="0" applyFont="1" applyFill="1" applyAlignment="1">
      <alignment horizontal="center" vertical="center"/>
    </xf>
    <xf numFmtId="0" fontId="4" fillId="0" borderId="0" xfId="0" applyFont="1" applyAlignment="1">
      <alignment horizontal="left" vertical="center" wrapText="1" indent="1"/>
    </xf>
    <xf numFmtId="0" fontId="10" fillId="0" borderId="0" xfId="0" applyFont="1" applyAlignment="1">
      <alignment wrapText="1"/>
    </xf>
    <xf numFmtId="49" fontId="4" fillId="0" borderId="0" xfId="0" applyNumberFormat="1" applyFont="1" applyAlignment="1">
      <alignment horizontal="left" vertical="center"/>
    </xf>
    <xf numFmtId="0" fontId="0" fillId="0" borderId="7" xfId="0" applyBorder="1" applyProtection="1">
      <protection locked="0"/>
    </xf>
    <xf numFmtId="0" fontId="1" fillId="0" borderId="7"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6" fillId="0" borderId="0" xfId="0" applyFont="1" applyAlignment="1">
      <alignment horizontal="center" vertical="top" wrapText="1"/>
    </xf>
    <xf numFmtId="0" fontId="1" fillId="0" borderId="0" xfId="0" applyFont="1" applyAlignment="1">
      <alignment horizontal="center" vertical="top" wrapText="1"/>
    </xf>
    <xf numFmtId="49" fontId="1" fillId="0" borderId="0" xfId="0" applyNumberFormat="1" applyFont="1" applyAlignment="1">
      <alignment horizontal="center" vertical="top" wrapText="1"/>
    </xf>
    <xf numFmtId="164" fontId="1" fillId="0" borderId="0" xfId="0" applyNumberFormat="1" applyFont="1" applyAlignment="1">
      <alignment horizontal="center" vertical="top" wrapText="1"/>
    </xf>
    <xf numFmtId="49" fontId="4" fillId="0" borderId="0" xfId="0" applyNumberFormat="1" applyFont="1" applyAlignment="1">
      <alignment horizontal="left" vertical="center" wrapText="1" indent="1"/>
    </xf>
    <xf numFmtId="0" fontId="5" fillId="0" borderId="0" xfId="0" applyFont="1" applyAlignment="1">
      <alignment horizontal="center" vertical="center"/>
    </xf>
    <xf numFmtId="0" fontId="7" fillId="0" borderId="0" xfId="0" applyFont="1"/>
    <xf numFmtId="0" fontId="18" fillId="0" borderId="0" xfId="0" applyFont="1"/>
    <xf numFmtId="0" fontId="1" fillId="0" borderId="0" xfId="0" applyFont="1" applyAlignment="1">
      <alignment horizontal="center" vertical="center" wrapText="1"/>
    </xf>
    <xf numFmtId="0" fontId="0" fillId="0" borderId="0" xfId="0" applyAlignment="1">
      <alignment horizontal="left" vertical="top" indent="1"/>
    </xf>
    <xf numFmtId="0" fontId="0" fillId="0" borderId="0" xfId="0" applyAlignment="1">
      <alignment horizontal="left" vertical="center"/>
    </xf>
    <xf numFmtId="0" fontId="24" fillId="0" borderId="0" xfId="0" applyFont="1" applyAlignment="1">
      <alignment horizontal="left" vertical="top"/>
    </xf>
    <xf numFmtId="0" fontId="24" fillId="0" borderId="0" xfId="0" applyFont="1"/>
    <xf numFmtId="0" fontId="4" fillId="0" borderId="0" xfId="0" applyFont="1" applyAlignment="1">
      <alignment horizontal="left" vertical="center" indent="1"/>
    </xf>
    <xf numFmtId="0" fontId="0" fillId="0" borderId="0" xfId="0" applyAlignment="1">
      <alignment horizontal="left" vertical="center" indent="1"/>
    </xf>
    <xf numFmtId="0" fontId="4" fillId="0" borderId="0" xfId="0" applyFont="1" applyAlignment="1">
      <alignment horizontal="left" vertical="top" indent="1"/>
    </xf>
    <xf numFmtId="0" fontId="0" fillId="0" borderId="0" xfId="0" applyAlignment="1">
      <alignment horizontal="left" vertical="top"/>
    </xf>
    <xf numFmtId="0" fontId="14" fillId="0" borderId="0" xfId="0" applyFont="1" applyAlignment="1">
      <alignment horizontal="center" vertical="center"/>
    </xf>
    <xf numFmtId="0" fontId="7" fillId="0" borderId="0" xfId="0" applyFont="1" applyAlignment="1">
      <alignment horizontal="left" vertical="top"/>
    </xf>
    <xf numFmtId="0" fontId="0" fillId="0" borderId="18" xfId="0" applyBorder="1"/>
    <xf numFmtId="0" fontId="0" fillId="0" borderId="19" xfId="0" applyBorder="1"/>
    <xf numFmtId="0" fontId="7" fillId="0" borderId="19" xfId="0" applyFont="1" applyBorder="1"/>
    <xf numFmtId="0" fontId="18" fillId="0" borderId="19" xfId="0" applyFont="1" applyBorder="1"/>
    <xf numFmtId="0" fontId="0" fillId="0" borderId="20" xfId="0" applyBorder="1"/>
    <xf numFmtId="0" fontId="0" fillId="0" borderId="21" xfId="0" applyBorder="1" applyAlignment="1">
      <alignment horizontal="left" vertical="center"/>
    </xf>
    <xf numFmtId="0" fontId="0" fillId="0" borderId="21" xfId="0" applyBorder="1"/>
    <xf numFmtId="0" fontId="7" fillId="0" borderId="21" xfId="0" applyFont="1" applyBorder="1"/>
    <xf numFmtId="0" fontId="9" fillId="4" borderId="15" xfId="0" applyFont="1" applyFill="1" applyBorder="1" applyAlignment="1">
      <alignment horizontal="center" vertical="center"/>
    </xf>
    <xf numFmtId="0" fontId="0" fillId="0" borderId="0" xfId="0" applyAlignment="1">
      <alignment horizontal="center"/>
    </xf>
    <xf numFmtId="0" fontId="0" fillId="4" borderId="16" xfId="0" applyFill="1" applyBorder="1"/>
    <xf numFmtId="0" fontId="4" fillId="0" borderId="0" xfId="0" applyFont="1"/>
    <xf numFmtId="0" fontId="29" fillId="0" borderId="0" xfId="0" applyFont="1"/>
    <xf numFmtId="0" fontId="1" fillId="0" borderId="4" xfId="0" applyFont="1" applyBorder="1" applyAlignment="1" applyProtection="1">
      <alignment horizontal="center" vertical="top" wrapText="1"/>
      <protection locked="0"/>
    </xf>
    <xf numFmtId="0" fontId="4" fillId="0" borderId="0" xfId="0" applyFont="1" applyAlignment="1">
      <alignment vertical="top"/>
    </xf>
    <xf numFmtId="0" fontId="4" fillId="0" borderId="0" xfId="0" applyFont="1" applyAlignment="1">
      <alignment vertical="top" wrapText="1"/>
    </xf>
    <xf numFmtId="0" fontId="29" fillId="0" borderId="0" xfId="0" applyFont="1" applyAlignment="1">
      <alignment vertical="top" wrapText="1"/>
    </xf>
    <xf numFmtId="0" fontId="1" fillId="0" borderId="7" xfId="0" applyFont="1" applyBorder="1" applyAlignment="1" applyProtection="1">
      <alignment horizontal="center" vertical="top" wrapText="1"/>
      <protection locked="0"/>
    </xf>
    <xf numFmtId="0" fontId="6" fillId="0" borderId="7" xfId="0" quotePrefix="1"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0" fillId="0" borderId="2" xfId="0"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26" fillId="0" borderId="0" xfId="0" applyFont="1" applyAlignment="1">
      <alignment horizontal="left" vertical="top"/>
    </xf>
    <xf numFmtId="0" fontId="4" fillId="0" borderId="5"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29" fillId="0" borderId="12" xfId="0" applyFont="1" applyBorder="1" applyAlignment="1" applyProtection="1">
      <alignment vertical="top" wrapText="1"/>
      <protection locked="0"/>
    </xf>
    <xf numFmtId="0" fontId="1" fillId="0" borderId="5" xfId="0" applyFont="1" applyBorder="1" applyAlignment="1" applyProtection="1">
      <alignment horizontal="center" vertical="top" wrapText="1"/>
      <protection locked="0"/>
    </xf>
    <xf numFmtId="0" fontId="0" fillId="0" borderId="7" xfId="0" applyBorder="1"/>
    <xf numFmtId="0" fontId="1" fillId="0" borderId="14" xfId="0" applyFont="1" applyBorder="1" applyAlignment="1" applyProtection="1">
      <alignment horizontal="center" vertical="top" wrapText="1"/>
      <protection locked="0"/>
    </xf>
    <xf numFmtId="0" fontId="1" fillId="0" borderId="13"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0" fontId="9" fillId="5" borderId="22" xfId="0" applyFont="1" applyFill="1" applyBorder="1" applyAlignment="1">
      <alignment horizontal="center" vertical="center"/>
    </xf>
    <xf numFmtId="0" fontId="0" fillId="5" borderId="23" xfId="0" applyFill="1" applyBorder="1"/>
    <xf numFmtId="0" fontId="0" fillId="5" borderId="24" xfId="0" applyFill="1" applyBorder="1"/>
    <xf numFmtId="0" fontId="0" fillId="5" borderId="25" xfId="0" applyFill="1" applyBorder="1"/>
    <xf numFmtId="0" fontId="0" fillId="5" borderId="26" xfId="0" applyFill="1" applyBorder="1"/>
    <xf numFmtId="0" fontId="0" fillId="5" borderId="26" xfId="0" applyFill="1" applyBorder="1" applyAlignment="1">
      <alignment vertical="center"/>
    </xf>
    <xf numFmtId="0" fontId="7" fillId="5" borderId="27" xfId="0" applyFont="1" applyFill="1" applyBorder="1" applyAlignment="1">
      <alignment vertical="center"/>
    </xf>
    <xf numFmtId="0" fontId="0" fillId="0" borderId="28" xfId="0" applyBorder="1"/>
    <xf numFmtId="0" fontId="0" fillId="0" borderId="29" xfId="0" applyBorder="1"/>
    <xf numFmtId="0" fontId="0" fillId="0" borderId="30" xfId="0" applyBorder="1"/>
    <xf numFmtId="0" fontId="0" fillId="0" borderId="31" xfId="0" applyBorder="1"/>
    <xf numFmtId="0" fontId="0" fillId="0" borderId="31" xfId="0" applyBorder="1" applyAlignment="1">
      <alignment horizontal="left" vertical="center"/>
    </xf>
    <xf numFmtId="0" fontId="7" fillId="0" borderId="31" xfId="0" applyFont="1" applyBorder="1"/>
    <xf numFmtId="0" fontId="7" fillId="5" borderId="26" xfId="0" applyFont="1" applyFill="1" applyBorder="1" applyAlignment="1">
      <alignment vertical="center"/>
    </xf>
    <xf numFmtId="0" fontId="0" fillId="0" borderId="32" xfId="0" applyBorder="1"/>
    <xf numFmtId="0" fontId="0" fillId="0" borderId="33" xfId="0" applyBorder="1"/>
    <xf numFmtId="0" fontId="1" fillId="0" borderId="33" xfId="0" applyFont="1" applyBorder="1" applyAlignment="1">
      <alignment horizontal="center" vertical="top" wrapText="1"/>
    </xf>
    <xf numFmtId="0" fontId="1" fillId="0" borderId="33" xfId="0" applyFont="1" applyBorder="1" applyAlignment="1" applyProtection="1">
      <alignment horizontal="center" vertical="top" wrapText="1"/>
      <protection locked="0"/>
    </xf>
    <xf numFmtId="0" fontId="6" fillId="0" borderId="33" xfId="0" applyFont="1" applyBorder="1" applyAlignment="1">
      <alignment horizontal="center" vertical="top" wrapText="1"/>
    </xf>
    <xf numFmtId="0" fontId="1" fillId="0" borderId="33" xfId="0" quotePrefix="1" applyFont="1" applyBorder="1" applyAlignment="1">
      <alignment horizontal="center" vertical="top" wrapText="1"/>
    </xf>
    <xf numFmtId="0" fontId="13" fillId="0" borderId="33" xfId="0" applyFont="1" applyBorder="1" applyAlignment="1">
      <alignment horizontal="center" vertical="top" wrapText="1"/>
    </xf>
    <xf numFmtId="0" fontId="6" fillId="0" borderId="33" xfId="0" quotePrefix="1" applyFont="1" applyBorder="1" applyAlignment="1">
      <alignment horizontal="center" vertical="top" wrapText="1"/>
    </xf>
    <xf numFmtId="49" fontId="1" fillId="0" borderId="33" xfId="0" applyNumberFormat="1" applyFont="1" applyBorder="1" applyAlignment="1">
      <alignment horizontal="center" vertical="top" wrapText="1"/>
    </xf>
    <xf numFmtId="164" fontId="1" fillId="0" borderId="33" xfId="0" applyNumberFormat="1" applyFont="1" applyBorder="1" applyAlignment="1">
      <alignment horizontal="center" vertical="top" wrapText="1"/>
    </xf>
    <xf numFmtId="164" fontId="6" fillId="0" borderId="33" xfId="0" applyNumberFormat="1" applyFont="1" applyBorder="1" applyAlignment="1">
      <alignment horizontal="center" vertical="top" wrapText="1"/>
    </xf>
    <xf numFmtId="49" fontId="1" fillId="0" borderId="33" xfId="0" quotePrefix="1" applyNumberFormat="1" applyFont="1" applyBorder="1" applyAlignment="1">
      <alignment horizontal="center" vertical="top" wrapText="1"/>
    </xf>
    <xf numFmtId="0" fontId="10" fillId="0" borderId="33" xfId="0" applyFont="1" applyBorder="1" applyAlignment="1">
      <alignment wrapText="1"/>
    </xf>
    <xf numFmtId="0" fontId="5" fillId="2" borderId="33" xfId="0" applyFont="1" applyFill="1" applyBorder="1" applyAlignment="1">
      <alignment horizontal="center" vertical="center"/>
    </xf>
    <xf numFmtId="0" fontId="5" fillId="3" borderId="33" xfId="0" applyFont="1" applyFill="1" applyBorder="1" applyAlignment="1">
      <alignment horizontal="center" vertical="center"/>
    </xf>
    <xf numFmtId="0" fontId="0" fillId="0" borderId="19" xfId="0" applyBorder="1" applyAlignment="1">
      <alignment horizontal="center" vertical="center" wrapText="1"/>
    </xf>
    <xf numFmtId="0" fontId="1" fillId="0" borderId="19" xfId="0" applyFont="1" applyBorder="1" applyAlignment="1">
      <alignment horizontal="center" vertical="center" wrapText="1"/>
    </xf>
    <xf numFmtId="0" fontId="1" fillId="0" borderId="19" xfId="0" applyFont="1" applyBorder="1" applyAlignment="1">
      <alignment horizontal="center" vertical="top" wrapText="1"/>
    </xf>
    <xf numFmtId="0" fontId="0" fillId="0" borderId="19" xfId="0" applyBorder="1" applyAlignment="1">
      <alignment horizontal="left" vertical="top" indent="1"/>
    </xf>
    <xf numFmtId="0" fontId="2" fillId="0" borderId="10" xfId="0" applyFont="1" applyBorder="1" applyAlignment="1" applyProtection="1">
      <alignment horizontal="left" vertical="center" wrapText="1" indent="1"/>
      <protection locked="0"/>
    </xf>
    <xf numFmtId="0" fontId="3" fillId="0" borderId="0" xfId="0" applyFont="1" applyAlignment="1" applyProtection="1">
      <alignment horizontal="left" vertical="center" wrapText="1" indent="1"/>
      <protection locked="0"/>
    </xf>
    <xf numFmtId="165" fontId="6" fillId="0" borderId="7" xfId="0" quotePrefix="1" applyNumberFormat="1" applyFont="1" applyBorder="1" applyAlignment="1" applyProtection="1">
      <alignment horizontal="center" vertical="top" wrapText="1"/>
      <protection locked="0"/>
    </xf>
    <xf numFmtId="165" fontId="16" fillId="6" borderId="0" xfId="0" applyNumberFormat="1" applyFont="1" applyFill="1" applyAlignment="1" applyProtection="1">
      <alignment horizontal="left"/>
      <protection locked="0"/>
    </xf>
    <xf numFmtId="0" fontId="0" fillId="6" borderId="0" xfId="0" applyFill="1"/>
    <xf numFmtId="165" fontId="31" fillId="0" borderId="7" xfId="0" quotePrefix="1" applyNumberFormat="1" applyFont="1" applyBorder="1" applyAlignment="1" applyProtection="1">
      <alignment horizontal="center" vertical="top" wrapText="1"/>
      <protection locked="0"/>
    </xf>
    <xf numFmtId="0" fontId="31" fillId="0" borderId="7" xfId="0" quotePrefix="1" applyFont="1" applyBorder="1" applyAlignment="1" applyProtection="1">
      <alignment horizontal="center" vertical="top" wrapText="1"/>
      <protection locked="0"/>
    </xf>
    <xf numFmtId="165" fontId="31" fillId="0" borderId="7" xfId="0" applyNumberFormat="1" applyFont="1" applyBorder="1" applyAlignment="1" applyProtection="1">
      <alignment horizontal="center" vertical="top" wrapText="1"/>
      <protection locked="0"/>
    </xf>
    <xf numFmtId="0" fontId="31" fillId="0" borderId="7" xfId="0" applyFont="1" applyBorder="1" applyAlignment="1" applyProtection="1">
      <alignment horizontal="center" vertical="top" wrapText="1"/>
      <protection locked="0"/>
    </xf>
    <xf numFmtId="0" fontId="0" fillId="0" borderId="0" xfId="0" applyAlignment="1" applyProtection="1">
      <alignment horizontal="left" vertical="top" indent="1"/>
      <protection locked="0"/>
    </xf>
    <xf numFmtId="0" fontId="31" fillId="0" borderId="33" xfId="0" applyFont="1" applyBorder="1" applyAlignment="1">
      <alignment horizontal="center" vertical="top" wrapText="1"/>
    </xf>
    <xf numFmtId="164" fontId="31" fillId="0" borderId="33" xfId="0" applyNumberFormat="1" applyFont="1" applyBorder="1" applyAlignment="1">
      <alignment horizontal="center" vertical="top" wrapText="1"/>
    </xf>
    <xf numFmtId="0" fontId="4" fillId="0" borderId="0" xfId="0" applyFont="1" applyAlignment="1">
      <alignment wrapText="1"/>
    </xf>
    <xf numFmtId="1" fontId="0" fillId="0" borderId="0" xfId="0" applyNumberFormat="1"/>
    <xf numFmtId="0" fontId="31" fillId="0" borderId="33" xfId="0" quotePrefix="1" applyFont="1" applyBorder="1" applyAlignment="1">
      <alignment horizontal="center" vertical="top" wrapText="1"/>
    </xf>
    <xf numFmtId="0" fontId="29" fillId="0" borderId="0" xfId="0" applyFont="1" applyAlignment="1" applyProtection="1">
      <alignment vertical="top" wrapText="1"/>
      <protection locked="0"/>
    </xf>
    <xf numFmtId="0" fontId="32" fillId="6" borderId="0" xfId="0" applyFont="1" applyFill="1"/>
    <xf numFmtId="0" fontId="1" fillId="0" borderId="37" xfId="0" applyFont="1" applyBorder="1" applyAlignment="1">
      <alignment horizontal="center" vertical="top" wrapText="1"/>
    </xf>
    <xf numFmtId="0" fontId="1" fillId="0" borderId="37" xfId="0" applyFont="1" applyBorder="1" applyAlignment="1" applyProtection="1">
      <alignment horizontal="center" vertical="top" wrapText="1"/>
      <protection locked="0"/>
    </xf>
    <xf numFmtId="0" fontId="1" fillId="0" borderId="14" xfId="0" applyFont="1" applyBorder="1" applyAlignment="1">
      <alignment horizontal="center" vertical="top" wrapText="1"/>
    </xf>
    <xf numFmtId="0" fontId="1" fillId="0" borderId="9" xfId="0" applyFont="1" applyBorder="1" applyAlignment="1">
      <alignment horizontal="center" vertical="center" wrapText="1"/>
    </xf>
    <xf numFmtId="0" fontId="1" fillId="0" borderId="9" xfId="0" applyFont="1" applyBorder="1" applyAlignment="1" applyProtection="1">
      <alignment horizontal="center" vertical="top" wrapText="1"/>
      <protection locked="0"/>
    </xf>
    <xf numFmtId="0" fontId="1" fillId="0" borderId="7" xfId="0" applyFont="1" applyBorder="1" applyAlignment="1">
      <alignment horizontal="center" vertical="center" wrapText="1"/>
    </xf>
    <xf numFmtId="0" fontId="1" fillId="0" borderId="4" xfId="0" applyFont="1" applyBorder="1" applyAlignment="1">
      <alignment horizontal="center" vertical="top" wrapText="1"/>
    </xf>
    <xf numFmtId="0" fontId="6" fillId="0" borderId="37" xfId="0" applyFont="1" applyBorder="1" applyAlignment="1" applyProtection="1">
      <alignment horizontal="center" vertical="top" wrapText="1"/>
      <protection locked="0"/>
    </xf>
    <xf numFmtId="0" fontId="31" fillId="0" borderId="37" xfId="0" applyFont="1" applyBorder="1" applyAlignment="1" applyProtection="1">
      <alignment horizontal="center" vertical="top" wrapText="1"/>
      <protection locked="0"/>
    </xf>
    <xf numFmtId="0" fontId="6" fillId="0" borderId="37" xfId="0" quotePrefix="1" applyFont="1" applyBorder="1" applyAlignment="1" applyProtection="1">
      <alignment horizontal="center" vertical="top" wrapText="1"/>
      <protection locked="0"/>
    </xf>
    <xf numFmtId="0" fontId="7" fillId="0" borderId="39" xfId="0" applyFont="1" applyBorder="1"/>
    <xf numFmtId="0" fontId="0" fillId="0" borderId="38" xfId="0" applyBorder="1"/>
    <xf numFmtId="0" fontId="33" fillId="6" borderId="0" xfId="0" applyFont="1" applyFill="1"/>
    <xf numFmtId="0" fontId="1" fillId="0" borderId="11" xfId="0" applyFont="1" applyBorder="1" applyAlignment="1" applyProtection="1">
      <alignment horizontal="center" vertical="top" wrapText="1"/>
      <protection locked="0"/>
    </xf>
    <xf numFmtId="0" fontId="3" fillId="0" borderId="13" xfId="0" applyFont="1" applyBorder="1" applyAlignment="1" applyProtection="1">
      <alignment vertical="center" wrapText="1"/>
      <protection locked="0"/>
    </xf>
    <xf numFmtId="0" fontId="0" fillId="0" borderId="0" xfId="0" applyAlignment="1" applyProtection="1">
      <alignment vertical="top"/>
      <protection locked="0"/>
    </xf>
    <xf numFmtId="0" fontId="1" fillId="7" borderId="33" xfId="0" applyFont="1" applyFill="1" applyBorder="1" applyAlignment="1">
      <alignment horizontal="center" vertical="top" wrapText="1"/>
    </xf>
    <xf numFmtId="0" fontId="0" fillId="0" borderId="0" xfId="0" applyAlignment="1">
      <alignment wrapText="1"/>
    </xf>
    <xf numFmtId="49" fontId="6" fillId="0" borderId="33" xfId="0" applyNumberFormat="1" applyFont="1" applyBorder="1" applyAlignment="1">
      <alignment horizontal="center" vertical="top" wrapText="1"/>
    </xf>
    <xf numFmtId="0" fontId="4" fillId="0" borderId="0" xfId="0" applyFont="1" applyAlignment="1" applyProtection="1">
      <alignment vertical="top" wrapText="1"/>
      <protection locked="0"/>
    </xf>
    <xf numFmtId="0" fontId="4" fillId="0" borderId="12" xfId="0" applyFont="1" applyBorder="1" applyAlignment="1" applyProtection="1">
      <alignment vertical="top" wrapText="1"/>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wrapText="1"/>
      <protection locked="0"/>
    </xf>
    <xf numFmtId="0" fontId="16" fillId="0" borderId="0" xfId="0" applyFont="1"/>
    <xf numFmtId="9" fontId="16" fillId="0" borderId="0" xfId="0" applyNumberFormat="1" applyFont="1"/>
    <xf numFmtId="165" fontId="16" fillId="8" borderId="0" xfId="0" applyNumberFormat="1" applyFont="1" applyFill="1" applyAlignment="1" applyProtection="1">
      <alignment horizontal="left"/>
      <protection locked="0"/>
    </xf>
    <xf numFmtId="0" fontId="17" fillId="0" borderId="0" xfId="0" applyFont="1"/>
    <xf numFmtId="0" fontId="1" fillId="0" borderId="40" xfId="0" applyFont="1" applyBorder="1" applyAlignment="1" applyProtection="1">
      <alignment horizontal="center" vertical="top" wrapText="1"/>
      <protection locked="0"/>
    </xf>
    <xf numFmtId="0" fontId="1" fillId="0" borderId="40" xfId="0" applyFont="1" applyBorder="1" applyAlignment="1">
      <alignment horizontal="center" vertical="top" wrapText="1"/>
    </xf>
    <xf numFmtId="0" fontId="0" fillId="0" borderId="0" xfId="0" applyProtection="1">
      <protection locked="0"/>
    </xf>
    <xf numFmtId="0" fontId="0" fillId="0" borderId="12" xfId="0" applyBorder="1" applyProtection="1">
      <protection locked="0"/>
    </xf>
    <xf numFmtId="0" fontId="1" fillId="0" borderId="33" xfId="0" applyFont="1" applyBorder="1" applyAlignment="1">
      <alignment horizontal="center" vertical="center" wrapText="1"/>
    </xf>
    <xf numFmtId="0" fontId="0" fillId="0" borderId="5" xfId="0" applyBorder="1" applyProtection="1">
      <protection locked="0"/>
    </xf>
    <xf numFmtId="0" fontId="7" fillId="0" borderId="5" xfId="0" applyFont="1" applyBorder="1" applyProtection="1">
      <protection locked="0"/>
    </xf>
    <xf numFmtId="0" fontId="7" fillId="0" borderId="6" xfId="0" applyFont="1" applyBorder="1" applyProtection="1">
      <protection locked="0"/>
    </xf>
    <xf numFmtId="0" fontId="1" fillId="9" borderId="33" xfId="0" applyFont="1" applyFill="1" applyBorder="1" applyAlignment="1">
      <alignment horizontal="center" vertical="top" wrapText="1"/>
    </xf>
    <xf numFmtId="49" fontId="1" fillId="9" borderId="33" xfId="0" applyNumberFormat="1" applyFont="1" applyFill="1" applyBorder="1" applyAlignment="1">
      <alignment horizontal="center" vertical="top" wrapText="1"/>
    </xf>
    <xf numFmtId="0" fontId="6" fillId="9" borderId="33" xfId="0" applyFont="1" applyFill="1" applyBorder="1" applyAlignment="1">
      <alignment horizontal="center" vertical="top" wrapText="1"/>
    </xf>
    <xf numFmtId="164" fontId="6" fillId="9" borderId="33" xfId="0" applyNumberFormat="1" applyFont="1" applyFill="1" applyBorder="1" applyAlignment="1">
      <alignment horizontal="center" vertical="top" wrapText="1"/>
    </xf>
    <xf numFmtId="0" fontId="9" fillId="4" borderId="26" xfId="0" applyFont="1" applyFill="1" applyBorder="1" applyAlignment="1">
      <alignment vertical="center"/>
    </xf>
    <xf numFmtId="0" fontId="1" fillId="0" borderId="0" xfId="0" applyFont="1" applyAlignment="1" applyProtection="1">
      <alignment horizontal="center" vertical="top" wrapText="1"/>
      <protection locked="0"/>
    </xf>
    <xf numFmtId="164" fontId="6" fillId="0" borderId="0" xfId="0" applyNumberFormat="1" applyFont="1" applyAlignment="1">
      <alignment horizontal="center" vertical="top" wrapText="1"/>
    </xf>
    <xf numFmtId="49" fontId="6" fillId="0" borderId="0" xfId="0" applyNumberFormat="1" applyFont="1" applyAlignment="1">
      <alignment horizontal="center" vertical="top" wrapText="1"/>
    </xf>
    <xf numFmtId="0" fontId="6" fillId="0" borderId="0" xfId="0" quotePrefix="1" applyFont="1" applyAlignment="1">
      <alignment horizontal="center" vertical="top" wrapText="1"/>
    </xf>
    <xf numFmtId="0" fontId="30" fillId="0" borderId="0" xfId="0" applyFont="1" applyAlignment="1" applyProtection="1">
      <alignment vertical="top" wrapText="1"/>
      <protection locked="0"/>
    </xf>
    <xf numFmtId="0" fontId="30" fillId="0" borderId="5" xfId="0" applyFont="1" applyBorder="1" applyAlignment="1" applyProtection="1">
      <alignment vertical="top" wrapText="1"/>
      <protection locked="0"/>
    </xf>
    <xf numFmtId="0" fontId="1" fillId="0" borderId="0" xfId="0" quotePrefix="1" applyFont="1" applyAlignment="1">
      <alignment horizontal="center" vertical="top" wrapText="1"/>
    </xf>
    <xf numFmtId="0" fontId="13" fillId="0" borderId="0" xfId="0" applyFont="1" applyAlignment="1">
      <alignment horizontal="center" vertical="top" wrapText="1"/>
    </xf>
    <xf numFmtId="0" fontId="13" fillId="0" borderId="0" xfId="0" quotePrefix="1" applyFont="1" applyAlignment="1">
      <alignment horizontal="center" vertical="top" wrapText="1"/>
    </xf>
    <xf numFmtId="0" fontId="0" fillId="6" borderId="0" xfId="0" applyFill="1" applyAlignment="1">
      <alignment horizontal="left" vertical="top"/>
    </xf>
    <xf numFmtId="0" fontId="0" fillId="6" borderId="0" xfId="0" applyFill="1"/>
    <xf numFmtId="165" fontId="0" fillId="6" borderId="0" xfId="0" applyNumberFormat="1" applyFill="1" applyAlignment="1">
      <alignment horizontal="left"/>
    </xf>
    <xf numFmtId="49" fontId="26" fillId="0" borderId="0" xfId="0" applyNumberFormat="1" applyFont="1" applyProtection="1">
      <protection locked="0"/>
    </xf>
    <xf numFmtId="0" fontId="0" fillId="0" borderId="0" xfId="0" applyAlignment="1">
      <alignment horizontal="left" vertical="top" wrapText="1"/>
    </xf>
    <xf numFmtId="0" fontId="0" fillId="0" borderId="0" xfId="0" applyAlignment="1">
      <alignment horizontal="left" vertical="top"/>
    </xf>
    <xf numFmtId="0" fontId="0" fillId="0" borderId="0" xfId="0"/>
    <xf numFmtId="0" fontId="0" fillId="0" borderId="0" xfId="0" applyAlignment="1">
      <alignment wrapText="1"/>
    </xf>
    <xf numFmtId="0" fontId="4" fillId="0" borderId="0" xfId="0" applyFont="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0" xfId="0" applyFont="1" applyAlignment="1" applyProtection="1">
      <alignment wrapText="1"/>
      <protection locked="0"/>
    </xf>
    <xf numFmtId="0" fontId="29"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2" fillId="0" borderId="9" xfId="0" applyFont="1" applyBorder="1" applyAlignment="1" applyProtection="1">
      <alignment horizontal="left" vertical="center" wrapText="1" indent="1"/>
      <protection locked="0"/>
    </xf>
    <xf numFmtId="0" fontId="3" fillId="0" borderId="8" xfId="0" applyFont="1" applyBorder="1" applyAlignment="1" applyProtection="1">
      <alignment horizontal="left" vertical="center" wrapText="1" indent="1"/>
      <protection locked="0"/>
    </xf>
    <xf numFmtId="0" fontId="3" fillId="0" borderId="13" xfId="0" applyFont="1" applyBorder="1" applyAlignment="1" applyProtection="1">
      <alignment horizontal="left" vertical="center" wrapText="1" indent="1"/>
      <protection locked="0"/>
    </xf>
    <xf numFmtId="0" fontId="4" fillId="0" borderId="0" xfId="0" applyFont="1" applyAlignment="1" applyProtection="1">
      <alignment horizontal="left" vertical="center" wrapText="1"/>
      <protection locked="0"/>
    </xf>
    <xf numFmtId="0" fontId="30" fillId="0" borderId="0" xfId="0" applyFont="1" applyAlignment="1" applyProtection="1">
      <alignment horizontal="left" vertical="top" wrapText="1"/>
      <protection locked="0"/>
    </xf>
    <xf numFmtId="0" fontId="30" fillId="0" borderId="5" xfId="0" applyFont="1" applyBorder="1" applyAlignment="1" applyProtection="1">
      <alignment horizontal="left" vertical="top" wrapText="1"/>
      <protection locked="0"/>
    </xf>
    <xf numFmtId="0" fontId="9" fillId="4" borderId="26" xfId="0" applyFont="1" applyFill="1" applyBorder="1" applyAlignment="1">
      <alignment horizontal="center" vertical="center"/>
    </xf>
    <xf numFmtId="0" fontId="34" fillId="8" borderId="0" xfId="0" applyFont="1" applyFill="1" applyAlignment="1" applyProtection="1">
      <alignment horizontal="center" vertical="center"/>
      <protection locked="0"/>
    </xf>
    <xf numFmtId="0" fontId="16" fillId="8" borderId="0" xfId="0" applyFont="1" applyFill="1" applyProtection="1">
      <protection locked="0"/>
    </xf>
    <xf numFmtId="0" fontId="1" fillId="0" borderId="1"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29" fillId="0" borderId="12" xfId="0" applyFont="1" applyBorder="1" applyAlignment="1" applyProtection="1">
      <alignment horizontal="left" vertical="top" wrapText="1"/>
      <protection locked="0"/>
    </xf>
    <xf numFmtId="49" fontId="0" fillId="0" borderId="21" xfId="0" applyNumberFormat="1" applyBorder="1"/>
    <xf numFmtId="0" fontId="26" fillId="0" borderId="0" xfId="0" applyFont="1" applyAlignment="1">
      <alignment horizontal="left" vertical="top"/>
    </xf>
    <xf numFmtId="0" fontId="23" fillId="0" borderId="0" xfId="0" applyFont="1" applyAlignment="1">
      <alignment horizontal="left" vertical="top" wrapText="1"/>
    </xf>
    <xf numFmtId="0" fontId="19" fillId="0" borderId="0" xfId="0" applyFont="1" applyAlignment="1">
      <alignment horizontal="left" vertical="top"/>
    </xf>
    <xf numFmtId="0" fontId="4" fillId="0" borderId="10"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4" fillId="0" borderId="11" xfId="0" applyFont="1" applyBorder="1" applyAlignment="1" applyProtection="1">
      <alignment vertical="top" wrapText="1"/>
      <protection locked="0"/>
    </xf>
    <xf numFmtId="0" fontId="4" fillId="0" borderId="12" xfId="0" applyFont="1" applyBorder="1" applyAlignment="1" applyProtection="1">
      <alignment vertical="top" wrapText="1"/>
      <protection locked="0"/>
    </xf>
    <xf numFmtId="0" fontId="29" fillId="0" borderId="0" xfId="0" applyFont="1" applyAlignment="1" applyProtection="1">
      <alignment vertical="top" wrapText="1"/>
      <protection locked="0"/>
    </xf>
    <xf numFmtId="0" fontId="7" fillId="4" borderId="16" xfId="0" applyFont="1" applyFill="1" applyBorder="1" applyAlignment="1">
      <alignment horizontal="right" vertical="center"/>
    </xf>
    <xf numFmtId="0" fontId="7" fillId="0" borderId="16" xfId="0" applyFont="1" applyBorder="1" applyAlignment="1">
      <alignment horizontal="right" vertical="center"/>
    </xf>
    <xf numFmtId="0" fontId="7" fillId="0" borderId="17" xfId="0" applyFont="1" applyBorder="1" applyAlignment="1">
      <alignment horizontal="right" vertical="center"/>
    </xf>
    <xf numFmtId="0" fontId="9" fillId="4" borderId="16" xfId="0" applyFont="1" applyFill="1" applyBorder="1" applyAlignment="1">
      <alignment horizontal="center" vertical="center"/>
    </xf>
    <xf numFmtId="0" fontId="9" fillId="0" borderId="16"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0" xfId="0" applyFont="1" applyAlignment="1">
      <alignment horizontal="center" vertical="center" wrapText="1"/>
    </xf>
    <xf numFmtId="0" fontId="1" fillId="0" borderId="33" xfId="0" applyFont="1" applyBorder="1" applyAlignment="1">
      <alignment horizontal="left" vertical="center"/>
    </xf>
  </cellXfs>
  <cellStyles count="17">
    <cellStyle name="Followed Hyperlink" xfId="16" builtinId="9" hidden="1"/>
    <cellStyle name="Followed Hyperlink" xfId="14" builtinId="9" hidden="1"/>
    <cellStyle name="Followed Hyperlink" xfId="10" builtinId="9" hidden="1"/>
    <cellStyle name="Followed Hyperlink" xfId="12" builtinId="9" hidden="1"/>
    <cellStyle name="Followed Hyperlink" xfId="2" builtinId="9" hidden="1"/>
    <cellStyle name="Followed Hyperlink" xfId="4" builtinId="9" hidden="1"/>
    <cellStyle name="Followed Hyperlink" xfId="8" builtinId="9" hidden="1"/>
    <cellStyle name="Followed Hyperlink" xfId="6" builtinId="9" hidden="1"/>
    <cellStyle name="Hyperlink" xfId="15" builtinId="8" hidden="1"/>
    <cellStyle name="Hyperlink" xfId="11" builtinId="8" hidden="1"/>
    <cellStyle name="Hyperlink" xfId="13" builtinId="8" hidden="1"/>
    <cellStyle name="Hyperlink" xfId="5" builtinId="8" hidden="1"/>
    <cellStyle name="Hyperlink" xfId="7" builtinId="8" hidden="1"/>
    <cellStyle name="Hyperlink" xfId="9" builtinId="8" hidden="1"/>
    <cellStyle name="Hyperlink" xfId="1" builtinId="8" hidden="1"/>
    <cellStyle name="Hyperlink" xfId="3" builtinId="8" hidden="1"/>
    <cellStyle name="Normal" xfId="0" builtinId="0"/>
  </cellStyles>
  <dxfs count="57">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s>
  <tableStyles count="0" defaultTableStyle="TableStyleMedium9" defaultPivotStyle="PivotStyleMedium7"/>
  <colors>
    <mruColors>
      <color rgb="FF73D2FC"/>
      <color rgb="FF3279C7"/>
      <color rgb="FF377A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B1:AC50"/>
  <sheetViews>
    <sheetView tabSelected="1" topLeftCell="F1" workbookViewId="0">
      <selection activeCell="K35" sqref="K35"/>
    </sheetView>
  </sheetViews>
  <sheetFormatPr defaultColWidth="10.875" defaultRowHeight="15.75"/>
  <cols>
    <col min="1" max="2" width="2.625" customWidth="1"/>
    <col min="3" max="28" width="11.25" customWidth="1"/>
    <col min="29" max="29" width="2.625" customWidth="1"/>
  </cols>
  <sheetData>
    <row r="1" spans="2:29" ht="16.5" thickBot="1"/>
    <row r="2" spans="2:29" ht="24.95" customHeight="1" thickBot="1">
      <c r="B2" s="60"/>
      <c r="C2" s="61"/>
      <c r="D2" s="62"/>
      <c r="E2" s="63"/>
      <c r="F2" s="64"/>
      <c r="G2" s="64"/>
      <c r="H2" s="64"/>
      <c r="I2" s="64"/>
      <c r="J2" s="64"/>
      <c r="K2" s="64"/>
      <c r="L2" s="64"/>
      <c r="M2" s="64"/>
      <c r="N2" s="179" t="s">
        <v>0</v>
      </c>
      <c r="O2" s="179"/>
      <c r="P2" s="179"/>
      <c r="Q2" s="179"/>
      <c r="R2" s="179"/>
      <c r="S2" s="179"/>
      <c r="T2" s="179"/>
      <c r="U2" s="65"/>
      <c r="V2" s="65"/>
      <c r="W2" s="65"/>
      <c r="X2" s="65"/>
      <c r="Y2" s="65"/>
      <c r="Z2" s="65"/>
      <c r="AA2" s="65"/>
      <c r="AB2" s="73" t="s">
        <v>1</v>
      </c>
      <c r="AC2" s="66"/>
    </row>
    <row r="3" spans="2:29" ht="15.95" customHeight="1">
      <c r="B3" s="67"/>
      <c r="AC3" s="68"/>
    </row>
    <row r="4" spans="2:29" ht="18.75">
      <c r="B4" s="67"/>
      <c r="N4" t="s">
        <v>2</v>
      </c>
      <c r="O4" s="180" t="s">
        <v>3</v>
      </c>
      <c r="P4" s="181"/>
      <c r="Q4" s="181"/>
      <c r="R4" s="181"/>
      <c r="S4" s="181"/>
      <c r="T4" s="27"/>
      <c r="U4" s="27"/>
      <c r="AC4" s="68"/>
    </row>
    <row r="5" spans="2:29" ht="16.5" thickBot="1">
      <c r="B5" s="67"/>
      <c r="AC5" s="68"/>
    </row>
    <row r="6" spans="2:29" ht="18" customHeight="1" thickBot="1">
      <c r="B6" s="67"/>
      <c r="C6" s="182"/>
      <c r="D6" s="183"/>
      <c r="E6" s="183"/>
      <c r="F6" s="49"/>
      <c r="G6" s="184" t="s">
        <v>4</v>
      </c>
      <c r="H6" s="184"/>
      <c r="I6" s="184"/>
      <c r="J6" s="184"/>
      <c r="K6" s="184"/>
      <c r="L6" s="184"/>
      <c r="M6" s="184"/>
      <c r="N6" s="184"/>
      <c r="O6" s="184"/>
      <c r="P6" s="184"/>
      <c r="Q6" s="184"/>
      <c r="R6" s="184"/>
      <c r="S6" s="184"/>
      <c r="T6" s="184"/>
      <c r="U6" s="184"/>
      <c r="V6" s="184"/>
      <c r="W6" s="184"/>
      <c r="X6" s="184"/>
      <c r="Y6" s="184"/>
      <c r="Z6" s="184"/>
      <c r="AA6" s="50"/>
      <c r="AB6" s="59"/>
      <c r="AC6" s="68"/>
    </row>
    <row r="7" spans="2:29" ht="16.5" thickBot="1">
      <c r="B7" s="67"/>
      <c r="C7" s="7"/>
      <c r="D7" s="7"/>
      <c r="E7" s="7"/>
      <c r="F7" s="7"/>
      <c r="G7" s="7"/>
      <c r="H7" s="9"/>
      <c r="I7" s="182" t="s">
        <v>5</v>
      </c>
      <c r="J7" s="185"/>
      <c r="K7" s="185"/>
      <c r="L7" s="185"/>
      <c r="M7" s="185"/>
      <c r="N7" s="185"/>
      <c r="O7" s="185"/>
      <c r="P7" s="186"/>
      <c r="Q7" s="182" t="s">
        <v>6</v>
      </c>
      <c r="R7" s="185"/>
      <c r="S7" s="186"/>
      <c r="T7" s="182" t="s">
        <v>7</v>
      </c>
      <c r="U7" s="185"/>
      <c r="V7" s="186"/>
      <c r="W7" s="8"/>
      <c r="X7" s="8"/>
      <c r="Y7" s="58"/>
      <c r="Z7" s="58"/>
      <c r="AA7" s="56"/>
      <c r="AB7" s="9"/>
      <c r="AC7" s="68"/>
    </row>
    <row r="8" spans="2:29" ht="42.95" customHeight="1" thickBot="1">
      <c r="B8" s="67"/>
      <c r="C8" s="42" t="s">
        <v>8</v>
      </c>
      <c r="D8" s="42" t="s">
        <v>9</v>
      </c>
      <c r="E8" s="42" t="s">
        <v>10</v>
      </c>
      <c r="F8" s="42" t="s">
        <v>11</v>
      </c>
      <c r="G8" s="42" t="s">
        <v>12</v>
      </c>
      <c r="H8" s="42" t="s">
        <v>13</v>
      </c>
      <c r="I8" s="42" t="s">
        <v>14</v>
      </c>
      <c r="J8" s="42" t="s">
        <v>15</v>
      </c>
      <c r="K8" s="42" t="s">
        <v>16</v>
      </c>
      <c r="L8" s="42" t="s">
        <v>17</v>
      </c>
      <c r="M8" s="42" t="s">
        <v>18</v>
      </c>
      <c r="N8" s="42" t="s">
        <v>19</v>
      </c>
      <c r="O8" s="42" t="s">
        <v>20</v>
      </c>
      <c r="P8" s="42" t="s">
        <v>21</v>
      </c>
      <c r="Q8" s="46" t="s">
        <v>22</v>
      </c>
      <c r="R8" s="46" t="s">
        <v>23</v>
      </c>
      <c r="S8" s="46" t="s">
        <v>24</v>
      </c>
      <c r="T8" s="46" t="s">
        <v>25</v>
      </c>
      <c r="U8" s="46" t="s">
        <v>26</v>
      </c>
      <c r="V8" s="46" t="s">
        <v>27</v>
      </c>
      <c r="W8" s="42" t="s">
        <v>28</v>
      </c>
      <c r="X8" s="42" t="s">
        <v>29</v>
      </c>
      <c r="Y8" s="42" t="s">
        <v>30</v>
      </c>
      <c r="Z8" s="42" t="s">
        <v>31</v>
      </c>
      <c r="AA8" s="57" t="s">
        <v>32</v>
      </c>
      <c r="AB8" s="55" t="s">
        <v>33</v>
      </c>
      <c r="AC8" s="68"/>
    </row>
    <row r="9" spans="2:29" ht="39.75" customHeight="1" thickBot="1">
      <c r="B9" s="67"/>
      <c r="C9" s="48" t="s">
        <v>34</v>
      </c>
      <c r="D9" s="48" t="s">
        <v>35</v>
      </c>
      <c r="E9" s="48" t="s">
        <v>36</v>
      </c>
      <c r="F9" s="101" t="s">
        <v>37</v>
      </c>
      <c r="G9" s="46" t="str">
        <f>VLOOKUP($O4,BMKPlatwEDGE,6,FALSE)</f>
        <v>3480/3840</v>
      </c>
      <c r="H9" s="46">
        <f>VLOOKUP($O4,BMKPlatwEDGE,7,FALSE)</f>
        <v>95</v>
      </c>
      <c r="I9" s="95">
        <f>S28</f>
        <v>100</v>
      </c>
      <c r="J9" s="46">
        <f>VLOOKUP($O4,BMKPlatwEDGE,9,FALSE)</f>
        <v>75</v>
      </c>
      <c r="K9" s="100" t="str">
        <f>$S$29</f>
        <v>150 PSI</v>
      </c>
      <c r="L9" s="46">
        <f>VLOOKUP($O4,BMKPlatwEDGE,11,FALSE)</f>
        <v>160</v>
      </c>
      <c r="M9" s="47" t="s">
        <v>38</v>
      </c>
      <c r="N9" s="47" t="s">
        <v>38</v>
      </c>
      <c r="O9" s="46" t="str">
        <f>VLOOKUP($O4,BMKPlatwEDGE,14,FALSE)</f>
        <v>35 / 500</v>
      </c>
      <c r="P9" s="46" t="str">
        <f>VLOOKUP($O4,BMKPlatwEDGE,15,FALSE)</f>
        <v>5.0 PSIG @ 475GPM</v>
      </c>
      <c r="Q9" s="46" t="str">
        <f>VLOOKUP($O4,BMKPlatwEDGE,16,FALSE)</f>
        <v>NATURAL GAS</v>
      </c>
      <c r="R9" s="46">
        <f>VLOOKUP($O4,BMKPlatwEDGE,17,FALSE)</f>
        <v>4000</v>
      </c>
      <c r="S9" s="48" t="str">
        <f>VLOOKUP($O4,BMKPlatwEDGE,18,FALSE)</f>
        <v>4 - 14</v>
      </c>
      <c r="T9" s="46" t="str">
        <f>VLOOKUP($O4,BMKPlatwEDGE,19,FALSE)</f>
        <v>208/3/60
460/3/60</v>
      </c>
      <c r="U9" s="46" t="str">
        <f>VLOOKUP($O4,BMKPlatwEDGE,20,FALSE)</f>
        <v>23
12</v>
      </c>
      <c r="V9" s="46" t="str">
        <f>VLOOKUP($O4,BMKPlatwEDGE,21,FALSE)</f>
        <v>11
11</v>
      </c>
      <c r="W9" s="46" t="str">
        <f>VLOOKUP($O4,BMKPlatwEDGE,22,FALSE)</f>
        <v>80 x 34 x 79</v>
      </c>
      <c r="X9" s="46">
        <f>VLOOKUP($O4,BMKPlatwEDGE,23,FALSE)</f>
        <v>2820</v>
      </c>
      <c r="Y9" s="46" t="s">
        <v>39</v>
      </c>
      <c r="Z9" s="101" t="s">
        <v>40</v>
      </c>
      <c r="AA9" s="46" t="s">
        <v>41</v>
      </c>
      <c r="AB9" s="46" t="str">
        <f>VLOOKUP($O4,BMKPlatwEDGE,27,FALSE)</f>
        <v>BMK PLATINUM 4000 WITH EDGE[ii]</v>
      </c>
      <c r="AC9" s="68"/>
    </row>
    <row r="10" spans="2:29" ht="16.5" customHeight="1">
      <c r="B10" s="67"/>
      <c r="C10" s="173" t="s">
        <v>42</v>
      </c>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5"/>
      <c r="AC10" s="68"/>
    </row>
    <row r="11" spans="2:29" ht="16.5" customHeight="1">
      <c r="B11" s="67"/>
      <c r="C11" s="169" t="s">
        <v>43</v>
      </c>
      <c r="D11" s="167"/>
      <c r="E11" s="167"/>
      <c r="F11" s="131"/>
      <c r="G11" s="176" t="s">
        <v>44</v>
      </c>
      <c r="H11" s="176"/>
      <c r="I11" s="176"/>
      <c r="J11" s="176"/>
      <c r="K11" s="167" t="s">
        <v>45</v>
      </c>
      <c r="L11" s="167"/>
      <c r="M11" s="167"/>
      <c r="N11" s="167" t="s">
        <v>46</v>
      </c>
      <c r="O11" s="167"/>
      <c r="P11" s="167"/>
      <c r="Q11" s="167" t="s">
        <v>47</v>
      </c>
      <c r="R11" s="167"/>
      <c r="S11" s="167"/>
      <c r="T11" s="167" t="s">
        <v>48</v>
      </c>
      <c r="U11" s="167"/>
      <c r="V11" s="167"/>
      <c r="W11" s="167" t="s">
        <v>49</v>
      </c>
      <c r="X11" s="167"/>
      <c r="Y11" s="167"/>
      <c r="Z11" s="177" t="s">
        <v>50</v>
      </c>
      <c r="AA11" s="177"/>
      <c r="AB11" s="178"/>
      <c r="AC11" s="68"/>
    </row>
    <row r="12" spans="2:29" ht="16.5" customHeight="1">
      <c r="B12" s="67"/>
      <c r="C12" s="169" t="str">
        <f>VLOOKUP($O4,BMKPlatwEDGE,28,FALSE)</f>
        <v>2. MINIMUM TURNDOWN: 15:1</v>
      </c>
      <c r="D12" s="167"/>
      <c r="E12" s="167"/>
      <c r="F12" s="131"/>
      <c r="G12" s="176"/>
      <c r="H12" s="176"/>
      <c r="I12" s="176"/>
      <c r="J12" s="176"/>
      <c r="K12" s="167"/>
      <c r="L12" s="167"/>
      <c r="M12" s="167"/>
      <c r="N12" s="167" t="s">
        <v>51</v>
      </c>
      <c r="O12" s="167"/>
      <c r="P12" s="167"/>
      <c r="Q12" s="167"/>
      <c r="R12" s="167"/>
      <c r="S12" s="167"/>
      <c r="T12" s="167"/>
      <c r="U12" s="167"/>
      <c r="V12" s="167"/>
      <c r="W12" s="167"/>
      <c r="X12" s="167"/>
      <c r="Y12" s="167"/>
      <c r="Z12" s="177"/>
      <c r="AA12" s="177"/>
      <c r="AB12" s="178"/>
      <c r="AC12" s="68"/>
    </row>
    <row r="13" spans="2:29" ht="16.5" customHeight="1">
      <c r="B13" s="67"/>
      <c r="C13" s="169" t="s">
        <v>52</v>
      </c>
      <c r="D13" s="167"/>
      <c r="E13" s="167"/>
      <c r="F13" s="167"/>
      <c r="G13" s="176"/>
      <c r="H13" s="176"/>
      <c r="I13" s="176"/>
      <c r="J13" s="176"/>
      <c r="K13" s="167"/>
      <c r="L13" s="167"/>
      <c r="M13" s="167"/>
      <c r="N13" s="167"/>
      <c r="O13" s="167"/>
      <c r="P13" s="167"/>
      <c r="Q13" s="167" t="s">
        <v>53</v>
      </c>
      <c r="R13" s="167"/>
      <c r="S13" s="167"/>
      <c r="T13" s="171" t="s">
        <v>54</v>
      </c>
      <c r="U13" s="171"/>
      <c r="V13" s="171"/>
      <c r="W13" s="167" t="s">
        <v>55</v>
      </c>
      <c r="X13" s="167"/>
      <c r="Y13" s="167"/>
      <c r="Z13" s="177"/>
      <c r="AA13" s="177"/>
      <c r="AB13" s="178"/>
      <c r="AC13" s="68"/>
    </row>
    <row r="14" spans="2:29" ht="16.5" customHeight="1">
      <c r="B14" s="67"/>
      <c r="C14" s="169" t="s">
        <v>56</v>
      </c>
      <c r="D14" s="170"/>
      <c r="E14" s="170"/>
      <c r="F14" s="139"/>
      <c r="G14" s="176"/>
      <c r="H14" s="176"/>
      <c r="I14" s="176"/>
      <c r="J14" s="176"/>
      <c r="K14" s="167" t="s">
        <v>57</v>
      </c>
      <c r="L14" s="167"/>
      <c r="M14" s="167"/>
      <c r="N14" s="167" t="s">
        <v>58</v>
      </c>
      <c r="O14" s="167"/>
      <c r="P14" s="167"/>
      <c r="Q14" s="167"/>
      <c r="R14" s="167"/>
      <c r="S14" s="167"/>
      <c r="T14" s="171"/>
      <c r="U14" s="171"/>
      <c r="V14" s="171"/>
      <c r="W14" s="167"/>
      <c r="X14" s="167"/>
      <c r="Y14" s="167"/>
      <c r="Z14" s="129"/>
      <c r="AA14" s="129"/>
      <c r="AB14" s="52"/>
      <c r="AC14" s="68"/>
    </row>
    <row r="15" spans="2:29" ht="16.5" customHeight="1">
      <c r="B15" s="67"/>
      <c r="C15" s="169" t="s">
        <v>59</v>
      </c>
      <c r="D15" s="167"/>
      <c r="E15" s="167"/>
      <c r="F15" s="132"/>
      <c r="G15" s="167" t="s">
        <v>60</v>
      </c>
      <c r="H15" s="167"/>
      <c r="I15" s="167"/>
      <c r="J15" s="167"/>
      <c r="K15" s="167" t="s">
        <v>61</v>
      </c>
      <c r="L15" s="167"/>
      <c r="M15" s="167"/>
      <c r="N15" s="167"/>
      <c r="O15" s="167"/>
      <c r="P15" s="167"/>
      <c r="Q15" s="171" t="s">
        <v>62</v>
      </c>
      <c r="R15" s="171"/>
      <c r="S15" s="171"/>
      <c r="T15" s="171" t="s">
        <v>63</v>
      </c>
      <c r="U15" s="171"/>
      <c r="V15" s="171"/>
      <c r="W15" s="167" t="s">
        <v>64</v>
      </c>
      <c r="X15" s="167"/>
      <c r="Y15" s="167"/>
      <c r="Z15" s="129"/>
      <c r="AA15" s="129"/>
      <c r="AB15" s="52"/>
      <c r="AC15" s="68"/>
    </row>
    <row r="16" spans="2:29" ht="16.5" customHeight="1">
      <c r="B16" s="67"/>
      <c r="C16" s="169" t="s">
        <v>65</v>
      </c>
      <c r="D16" s="167"/>
      <c r="E16" s="167"/>
      <c r="F16" s="131"/>
      <c r="G16" s="167"/>
      <c r="H16" s="167"/>
      <c r="I16" s="167"/>
      <c r="J16" s="167"/>
      <c r="K16" s="167"/>
      <c r="L16" s="167"/>
      <c r="M16" s="167"/>
      <c r="N16" s="167" t="s">
        <v>66</v>
      </c>
      <c r="O16" s="167"/>
      <c r="P16" s="167"/>
      <c r="Q16" s="171"/>
      <c r="R16" s="171"/>
      <c r="S16" s="171"/>
      <c r="T16" s="171"/>
      <c r="U16" s="171"/>
      <c r="V16" s="171"/>
      <c r="W16" s="167"/>
      <c r="X16" s="167"/>
      <c r="Y16" s="167"/>
      <c r="Z16" s="129"/>
      <c r="AA16" s="129"/>
      <c r="AB16" s="52"/>
      <c r="AC16" s="68"/>
    </row>
    <row r="17" spans="2:29" ht="16.5" customHeight="1" thickBot="1">
      <c r="B17" s="67"/>
      <c r="C17" s="172"/>
      <c r="D17" s="168"/>
      <c r="E17" s="168"/>
      <c r="F17" s="140"/>
      <c r="G17" s="140"/>
      <c r="H17" s="140"/>
      <c r="I17" s="140"/>
      <c r="J17" s="140"/>
      <c r="K17" s="140"/>
      <c r="L17" s="140"/>
      <c r="M17" s="140"/>
      <c r="N17" s="168"/>
      <c r="O17" s="168"/>
      <c r="P17" s="168"/>
      <c r="Q17" s="140"/>
      <c r="R17" s="140"/>
      <c r="S17" s="140"/>
      <c r="T17" s="140"/>
      <c r="U17" s="140"/>
      <c r="V17" s="140"/>
      <c r="W17" s="168"/>
      <c r="X17" s="168"/>
      <c r="Y17" s="168"/>
      <c r="Z17" s="130"/>
      <c r="AA17" s="130"/>
      <c r="AB17" s="53"/>
      <c r="AC17" s="68"/>
    </row>
    <row r="18" spans="2:29" ht="16.5" customHeight="1">
      <c r="B18" s="67"/>
      <c r="AC18" s="68"/>
    </row>
    <row r="19" spans="2:29" ht="16.5" customHeight="1">
      <c r="B19" s="67"/>
      <c r="AC19" s="68"/>
    </row>
    <row r="20" spans="2:29">
      <c r="B20" s="67"/>
      <c r="AC20" s="68"/>
    </row>
    <row r="21" spans="2:29">
      <c r="B21" s="67"/>
      <c r="C21" s="163" t="s">
        <v>67</v>
      </c>
      <c r="D21" s="164"/>
      <c r="E21" s="164"/>
      <c r="F21" s="164"/>
      <c r="G21" s="164"/>
      <c r="H21" s="164"/>
      <c r="I21" s="164"/>
      <c r="J21" s="164"/>
      <c r="K21" s="164"/>
      <c r="L21" s="164"/>
      <c r="M21" s="164"/>
      <c r="N21" s="164"/>
      <c r="O21" s="164"/>
      <c r="P21" s="165"/>
      <c r="Q21" s="163" t="s">
        <v>68</v>
      </c>
      <c r="R21" s="166"/>
      <c r="S21" s="166"/>
      <c r="T21" s="166"/>
      <c r="U21" s="166"/>
      <c r="V21" s="166"/>
      <c r="W21" s="166"/>
      <c r="X21" s="166"/>
      <c r="Y21" s="16"/>
      <c r="Z21" s="16"/>
      <c r="AA21" s="16"/>
      <c r="AB21" s="16"/>
      <c r="AC21" s="68"/>
    </row>
    <row r="22" spans="2:29">
      <c r="B22" s="67"/>
      <c r="C22" s="164"/>
      <c r="D22" s="164"/>
      <c r="E22" s="164"/>
      <c r="F22" s="164"/>
      <c r="G22" s="164"/>
      <c r="H22" s="164"/>
      <c r="I22" s="164"/>
      <c r="J22" s="164"/>
      <c r="K22" s="164"/>
      <c r="L22" s="164"/>
      <c r="M22" s="164"/>
      <c r="N22" s="164"/>
      <c r="O22" s="164"/>
      <c r="P22" s="165"/>
      <c r="Q22" s="26"/>
      <c r="Y22" s="16"/>
      <c r="Z22" s="16"/>
      <c r="AA22" s="16"/>
      <c r="AB22" s="16"/>
      <c r="AC22" s="68"/>
    </row>
    <row r="23" spans="2:29">
      <c r="B23" s="67"/>
      <c r="C23" s="164"/>
      <c r="D23" s="164"/>
      <c r="E23" s="164"/>
      <c r="F23" s="164"/>
      <c r="G23" s="164"/>
      <c r="H23" s="164"/>
      <c r="I23" s="164"/>
      <c r="J23" s="164"/>
      <c r="K23" s="164"/>
      <c r="L23" s="164"/>
      <c r="M23" s="164"/>
      <c r="N23" s="164"/>
      <c r="O23" s="164"/>
      <c r="P23" s="165"/>
      <c r="Q23" s="26" t="s">
        <v>69</v>
      </c>
      <c r="Y23" s="16"/>
      <c r="Z23" s="16"/>
      <c r="AA23" s="16"/>
      <c r="AB23" s="16"/>
      <c r="AC23" s="68"/>
    </row>
    <row r="24" spans="2:29">
      <c r="B24" s="67"/>
      <c r="C24" s="164"/>
      <c r="D24" s="164"/>
      <c r="E24" s="164"/>
      <c r="F24" s="164"/>
      <c r="G24" s="164"/>
      <c r="H24" s="164"/>
      <c r="I24" s="164"/>
      <c r="J24" s="164"/>
      <c r="K24" s="164"/>
      <c r="L24" s="164"/>
      <c r="M24" s="164"/>
      <c r="N24" s="164"/>
      <c r="O24" s="164"/>
      <c r="P24" s="165"/>
      <c r="Q24" s="26" t="s">
        <v>70</v>
      </c>
      <c r="Y24" s="16"/>
      <c r="Z24" s="16"/>
      <c r="AA24" s="16"/>
      <c r="AB24" s="16"/>
      <c r="AC24" s="68"/>
    </row>
    <row r="25" spans="2:29">
      <c r="B25" s="67"/>
      <c r="C25" s="164"/>
      <c r="D25" s="164"/>
      <c r="E25" s="164"/>
      <c r="F25" s="164"/>
      <c r="G25" s="164"/>
      <c r="H25" s="164"/>
      <c r="I25" s="164"/>
      <c r="J25" s="164"/>
      <c r="K25" s="164"/>
      <c r="L25" s="164"/>
      <c r="M25" s="164"/>
      <c r="N25" s="164"/>
      <c r="O25" s="164"/>
      <c r="P25" s="165"/>
      <c r="Q25" s="26" t="s">
        <v>71</v>
      </c>
      <c r="Y25" s="16"/>
      <c r="Z25" s="16"/>
      <c r="AA25" s="16"/>
      <c r="AB25" s="16"/>
      <c r="AC25" s="68"/>
    </row>
    <row r="26" spans="2:29">
      <c r="B26" s="67"/>
      <c r="C26" s="164"/>
      <c r="D26" s="164"/>
      <c r="E26" s="164"/>
      <c r="F26" s="164"/>
      <c r="G26" s="164"/>
      <c r="H26" s="164"/>
      <c r="I26" s="164"/>
      <c r="J26" s="164"/>
      <c r="K26" s="164"/>
      <c r="L26" s="164"/>
      <c r="M26" s="164"/>
      <c r="N26" s="164"/>
      <c r="O26" s="164"/>
      <c r="P26" s="165"/>
      <c r="Q26" s="26"/>
      <c r="Y26" s="16"/>
      <c r="Z26" s="16"/>
      <c r="AA26" s="16"/>
      <c r="AB26" s="16"/>
      <c r="AC26" s="68"/>
    </row>
    <row r="27" spans="2:29">
      <c r="B27" s="67"/>
      <c r="C27" s="164"/>
      <c r="D27" s="164"/>
      <c r="E27" s="164"/>
      <c r="F27" s="164"/>
      <c r="G27" s="164"/>
      <c r="H27" s="164"/>
      <c r="I27" s="164"/>
      <c r="J27" s="164"/>
      <c r="K27" s="164"/>
      <c r="L27" s="164"/>
      <c r="M27" s="164"/>
      <c r="N27" s="164"/>
      <c r="O27" s="164"/>
      <c r="P27" s="165"/>
      <c r="Q27" s="21"/>
      <c r="R27" s="22"/>
      <c r="S27" s="22"/>
      <c r="T27" s="22"/>
      <c r="U27" s="22"/>
      <c r="V27" s="22"/>
      <c r="W27" s="22"/>
      <c r="X27" s="22"/>
      <c r="Y27" s="17"/>
      <c r="Z27" s="17"/>
      <c r="AA27" s="17"/>
      <c r="AB27" s="17"/>
      <c r="AC27" s="68"/>
    </row>
    <row r="28" spans="2:29">
      <c r="B28" s="67"/>
      <c r="C28" s="164"/>
      <c r="D28" s="164"/>
      <c r="E28" s="164"/>
      <c r="F28" s="164"/>
      <c r="G28" s="164"/>
      <c r="H28" s="164"/>
      <c r="I28" s="164"/>
      <c r="J28" s="164"/>
      <c r="K28" s="164"/>
      <c r="L28" s="164"/>
      <c r="M28" s="164"/>
      <c r="N28" s="164"/>
      <c r="O28" s="164"/>
      <c r="P28" s="165"/>
      <c r="Q28" s="159" t="s">
        <v>72</v>
      </c>
      <c r="R28" s="160"/>
      <c r="S28" s="96">
        <v>100</v>
      </c>
      <c r="T28" s="160" t="s">
        <v>73</v>
      </c>
      <c r="U28" s="160"/>
      <c r="V28" s="160"/>
      <c r="Y28" s="16"/>
      <c r="Z28" s="16"/>
      <c r="AA28" s="16"/>
      <c r="AB28" s="16"/>
      <c r="AC28" s="68"/>
    </row>
    <row r="29" spans="2:29">
      <c r="B29" s="67"/>
      <c r="C29" s="51"/>
      <c r="D29" s="51"/>
      <c r="E29" s="26"/>
      <c r="F29" s="26"/>
      <c r="G29" s="26"/>
      <c r="H29" s="26"/>
      <c r="I29" s="26"/>
      <c r="J29" s="26"/>
      <c r="K29" s="26"/>
      <c r="L29" s="26"/>
      <c r="M29" s="26"/>
      <c r="N29" s="26"/>
      <c r="O29" s="26"/>
      <c r="Q29" s="159" t="s">
        <v>74</v>
      </c>
      <c r="R29" s="160"/>
      <c r="S29" s="161" t="str">
        <f>INDEX(RVpressure,MATCH(1,RV_BMKPEDGE,0))&amp;" PSI"</f>
        <v>150 PSI</v>
      </c>
      <c r="T29" s="160"/>
      <c r="U29" s="109">
        <f>IF(S28*120%&lt;=S28+15,S28+15,S28*120%)</f>
        <v>120</v>
      </c>
      <c r="V29" s="97"/>
      <c r="Y29" s="16"/>
      <c r="Z29" s="16"/>
      <c r="AA29" s="16"/>
      <c r="AB29" s="16"/>
      <c r="AC29" s="68"/>
    </row>
    <row r="30" spans="2:29">
      <c r="B30" s="67"/>
      <c r="C30" s="51"/>
      <c r="D30" s="51"/>
      <c r="E30" s="26"/>
      <c r="F30" s="26"/>
      <c r="G30" s="26"/>
      <c r="H30" s="26"/>
      <c r="I30" s="26"/>
      <c r="J30" s="26"/>
      <c r="K30" s="26"/>
      <c r="L30" s="26"/>
      <c r="M30" s="26"/>
      <c r="N30" s="26"/>
      <c r="O30" s="26"/>
      <c r="R30" s="26"/>
      <c r="S30" s="26"/>
      <c r="T30" s="26"/>
      <c r="U30" s="26"/>
      <c r="V30" s="26"/>
      <c r="W30" s="26"/>
      <c r="X30" s="26"/>
      <c r="Y30" s="28"/>
      <c r="Z30" s="28"/>
      <c r="AA30" s="28"/>
      <c r="AB30" s="28"/>
      <c r="AC30" s="68"/>
    </row>
    <row r="31" spans="2:29">
      <c r="B31" s="67"/>
      <c r="C31" s="162"/>
      <c r="D31" s="162"/>
      <c r="E31" s="26"/>
      <c r="F31" s="26"/>
      <c r="G31" s="26"/>
      <c r="H31" s="26"/>
      <c r="I31" s="26"/>
      <c r="J31" s="26"/>
      <c r="K31" s="26"/>
      <c r="L31" s="26"/>
      <c r="M31" s="26"/>
      <c r="N31" s="26"/>
      <c r="O31" s="26"/>
      <c r="Q31" s="26"/>
      <c r="R31" s="26"/>
      <c r="S31" s="26"/>
      <c r="T31" s="26"/>
      <c r="U31" s="26"/>
      <c r="V31" s="26"/>
      <c r="W31" s="26"/>
      <c r="X31" s="26"/>
      <c r="Y31" s="28"/>
      <c r="Z31" s="28"/>
      <c r="AA31" s="28"/>
      <c r="AB31" s="28"/>
      <c r="AC31" s="68"/>
    </row>
    <row r="32" spans="2:29" ht="16.5" thickBot="1">
      <c r="B32" s="69"/>
      <c r="C32" s="70"/>
      <c r="D32" s="70"/>
      <c r="E32" s="71"/>
      <c r="F32" s="71"/>
      <c r="G32" s="71"/>
      <c r="H32" s="71"/>
      <c r="I32" s="71"/>
      <c r="J32" s="71"/>
      <c r="K32" s="71"/>
      <c r="L32" s="71"/>
      <c r="M32" s="71"/>
      <c r="N32" s="71"/>
      <c r="O32" s="71"/>
      <c r="P32" s="70"/>
      <c r="Q32" s="70"/>
      <c r="R32" s="70"/>
      <c r="S32" s="70"/>
      <c r="T32" s="70"/>
      <c r="U32" s="70"/>
      <c r="V32" s="70"/>
      <c r="W32" s="70"/>
      <c r="X32" s="70"/>
      <c r="Y32" s="72"/>
      <c r="Z32" s="72"/>
      <c r="AA32" s="72"/>
      <c r="AB32" s="72"/>
      <c r="AC32" s="74"/>
    </row>
    <row r="33" spans="3:28">
      <c r="C33" s="25"/>
      <c r="D33" s="25"/>
      <c r="E33" s="25"/>
      <c r="F33" s="25"/>
      <c r="G33" s="25"/>
      <c r="H33" s="25"/>
      <c r="I33" s="20"/>
      <c r="J33" s="20"/>
      <c r="K33" s="20"/>
      <c r="L33" s="20"/>
      <c r="M33" s="20"/>
      <c r="N33" s="20"/>
      <c r="O33" s="20"/>
      <c r="Y33" s="16"/>
      <c r="Z33" s="16"/>
      <c r="AA33" s="16"/>
      <c r="AB33" s="16"/>
    </row>
    <row r="34" spans="3:28" ht="15.95" customHeight="1">
      <c r="C34" s="25"/>
      <c r="D34" s="25"/>
      <c r="E34" s="25"/>
      <c r="F34" s="25"/>
      <c r="L34" s="23"/>
      <c r="M34" s="24"/>
      <c r="N34" s="24"/>
    </row>
    <row r="35" spans="3:28">
      <c r="C35" s="25"/>
      <c r="D35" s="25"/>
      <c r="G35" s="44"/>
      <c r="H35" s="44"/>
      <c r="I35" s="44"/>
      <c r="J35" s="44"/>
    </row>
    <row r="36" spans="3:28">
      <c r="C36" s="25"/>
      <c r="D36" s="25"/>
      <c r="E36" s="25"/>
      <c r="F36" s="25"/>
      <c r="G36" s="25"/>
      <c r="H36" s="25"/>
      <c r="L36" s="25"/>
      <c r="M36" s="25"/>
    </row>
    <row r="37" spans="3:28">
      <c r="C37" s="25"/>
      <c r="D37" s="25"/>
      <c r="E37" s="25"/>
      <c r="F37" s="25"/>
      <c r="G37" s="25"/>
      <c r="H37" s="25"/>
      <c r="L37" s="25"/>
      <c r="M37" s="25"/>
      <c r="Q37" s="25"/>
      <c r="U37" s="25"/>
      <c r="V37" s="19"/>
      <c r="W37" s="19"/>
      <c r="X37" s="25"/>
      <c r="Y37" s="25"/>
      <c r="Z37" s="25"/>
      <c r="AA37" s="25"/>
      <c r="AB37" s="25"/>
    </row>
    <row r="38" spans="3:28">
      <c r="C38" s="25"/>
      <c r="G38" s="19"/>
      <c r="H38" s="19"/>
      <c r="I38" s="19"/>
      <c r="J38" s="19"/>
      <c r="K38" s="25"/>
      <c r="L38" s="25"/>
      <c r="M38" s="25"/>
      <c r="N38" s="24"/>
      <c r="O38" s="25"/>
      <c r="P38" s="25"/>
      <c r="Q38" s="25"/>
      <c r="R38" s="25"/>
      <c r="S38" s="19"/>
      <c r="T38" s="19"/>
      <c r="U38" s="19"/>
      <c r="V38" s="19"/>
      <c r="W38" s="19"/>
      <c r="X38" s="25"/>
      <c r="Y38" s="25"/>
      <c r="Z38" s="25"/>
      <c r="AA38" s="25"/>
      <c r="AB38" s="25"/>
    </row>
    <row r="39" spans="3:28">
      <c r="C39" s="25"/>
      <c r="D39" s="19"/>
      <c r="E39" s="19"/>
      <c r="F39" s="19"/>
      <c r="O39" s="25"/>
      <c r="P39" s="25"/>
      <c r="Q39" s="25"/>
      <c r="R39" s="19"/>
      <c r="S39" s="19"/>
      <c r="T39" s="19"/>
      <c r="U39" s="19"/>
      <c r="V39" s="19"/>
      <c r="W39" s="19"/>
      <c r="X39" s="25"/>
      <c r="Y39" s="25"/>
      <c r="Z39" s="25"/>
      <c r="AA39" s="25"/>
      <c r="AB39" s="25"/>
    </row>
    <row r="40" spans="3:28">
      <c r="C40" s="19"/>
      <c r="D40" s="19"/>
      <c r="E40" s="19"/>
      <c r="F40" s="19"/>
    </row>
    <row r="41" spans="3:28">
      <c r="C41" s="19"/>
      <c r="D41" s="19"/>
      <c r="E41" s="44"/>
      <c r="F41" s="44"/>
      <c r="G41" s="40"/>
      <c r="H41" s="40"/>
      <c r="I41" s="40"/>
      <c r="J41" s="43"/>
      <c r="K41" s="43"/>
      <c r="L41" s="43"/>
      <c r="M41" s="44"/>
      <c r="N41" s="44"/>
      <c r="O41" s="44"/>
      <c r="P41" s="45"/>
      <c r="Q41" s="45"/>
      <c r="R41" s="45"/>
      <c r="S41" s="44"/>
      <c r="T41" s="44"/>
      <c r="U41" s="44"/>
      <c r="V41" s="44"/>
      <c r="W41" s="44"/>
      <c r="X41" s="44"/>
      <c r="Y41" s="44"/>
      <c r="Z41" s="44"/>
      <c r="AA41" s="44"/>
      <c r="AB41" s="44"/>
    </row>
    <row r="42" spans="3:28">
      <c r="E42" s="45"/>
      <c r="F42" s="45"/>
      <c r="G42" s="45"/>
      <c r="H42" s="45"/>
      <c r="I42" s="45"/>
      <c r="J42" s="44"/>
      <c r="K42" s="44"/>
      <c r="L42" s="44"/>
      <c r="M42" s="44"/>
      <c r="N42" s="44"/>
      <c r="O42" s="44"/>
      <c r="P42" s="45"/>
      <c r="Q42" s="45"/>
      <c r="R42" s="45"/>
      <c r="S42" s="44"/>
      <c r="T42" s="44"/>
      <c r="U42" s="44"/>
      <c r="V42" s="44"/>
      <c r="W42" s="44"/>
      <c r="X42" s="44"/>
      <c r="Y42" s="44"/>
      <c r="Z42" s="44"/>
      <c r="AA42" s="44"/>
      <c r="AB42" s="44"/>
    </row>
    <row r="43" spans="3:28">
      <c r="C43" s="23"/>
      <c r="D43" s="24"/>
      <c r="E43" s="44"/>
      <c r="F43" s="44"/>
      <c r="G43" s="44"/>
      <c r="H43" s="44"/>
      <c r="I43" s="44"/>
      <c r="J43" s="44"/>
      <c r="K43" s="44"/>
      <c r="L43" s="44"/>
      <c r="M43" s="44"/>
      <c r="N43" s="44"/>
      <c r="O43" s="44"/>
      <c r="P43" s="44"/>
      <c r="Q43" s="44"/>
      <c r="R43" s="44"/>
      <c r="S43" s="44"/>
      <c r="T43" s="44"/>
      <c r="U43" s="44"/>
      <c r="V43" s="44"/>
      <c r="W43" s="44"/>
      <c r="X43" s="44"/>
      <c r="Y43" s="44"/>
      <c r="Z43" s="44"/>
      <c r="AA43" s="44"/>
      <c r="AB43" s="44"/>
    </row>
    <row r="44" spans="3:28">
      <c r="E44" s="44"/>
      <c r="F44" s="44"/>
      <c r="G44" s="44"/>
      <c r="H44" s="44"/>
      <c r="I44" s="44"/>
      <c r="J44" s="44"/>
      <c r="K44" s="44"/>
      <c r="L44" s="44"/>
      <c r="M44" s="44"/>
      <c r="N44" s="44"/>
      <c r="O44" s="44"/>
      <c r="P44" s="44"/>
      <c r="Q44" s="44"/>
      <c r="R44" s="44"/>
      <c r="S44" s="44"/>
      <c r="T44" s="44"/>
      <c r="U44" s="44"/>
      <c r="V44" s="44"/>
      <c r="W44" s="44"/>
      <c r="X44" s="44"/>
      <c r="Y44" s="44"/>
      <c r="Z44" s="44"/>
      <c r="AA44" s="44"/>
      <c r="AB44" s="44"/>
    </row>
    <row r="45" spans="3:28">
      <c r="C45" s="23"/>
      <c r="D45" s="24"/>
      <c r="E45" s="24"/>
      <c r="F45" s="24"/>
    </row>
    <row r="48" spans="3:28">
      <c r="C48" s="25"/>
      <c r="D48" s="19"/>
      <c r="E48" s="19"/>
      <c r="F48" s="19"/>
      <c r="G48" s="25"/>
      <c r="H48" s="25"/>
      <c r="I48" s="25"/>
      <c r="J48" s="25"/>
      <c r="K48" s="25"/>
      <c r="L48" s="25"/>
      <c r="M48" s="19"/>
      <c r="N48" s="19"/>
      <c r="O48" s="19"/>
      <c r="P48" s="25"/>
      <c r="Q48" s="19"/>
      <c r="R48" s="19"/>
      <c r="S48" s="19"/>
    </row>
    <row r="49" spans="3:19">
      <c r="C49" s="25"/>
      <c r="D49" s="19"/>
      <c r="E49" s="19"/>
      <c r="F49" s="19"/>
      <c r="G49" s="25"/>
      <c r="H49" s="25"/>
      <c r="I49" s="25"/>
      <c r="J49" s="25"/>
      <c r="K49" s="25"/>
      <c r="L49" s="25"/>
      <c r="M49" s="19"/>
      <c r="N49" s="19"/>
      <c r="O49" s="19"/>
      <c r="P49" s="19"/>
      <c r="Q49" s="19"/>
      <c r="R49" s="19"/>
      <c r="S49" s="19"/>
    </row>
    <row r="50" spans="3:19">
      <c r="C50" s="25"/>
      <c r="D50" s="19"/>
      <c r="E50" s="19"/>
      <c r="F50" s="19"/>
      <c r="G50" s="25"/>
      <c r="H50" s="25"/>
      <c r="I50" s="25"/>
      <c r="J50" s="25"/>
      <c r="K50" s="25"/>
      <c r="L50" s="25"/>
      <c r="M50" s="19"/>
      <c r="N50" s="19"/>
      <c r="O50" s="19"/>
      <c r="P50" s="19"/>
      <c r="Q50" s="19"/>
      <c r="R50" s="19"/>
      <c r="S50" s="19"/>
    </row>
  </sheetData>
  <sheetProtection algorithmName="SHA-512" hashValue="CTQr8ukj9+i0WyRXXk4VWbnhBQnmfgBfQt1TcKNUGEUK2WRowC1NBcHCUsPWuFhtnHL1D68oSZVLPPiP4S0oXg==" saltValue="FVR2EZvXex30CSFkeR6xEw==" spinCount="100000" sheet="1" objects="1" scenarios="1"/>
  <mergeCells count="40">
    <mergeCell ref="N2:T2"/>
    <mergeCell ref="O4:S4"/>
    <mergeCell ref="C6:E6"/>
    <mergeCell ref="G6:Z6"/>
    <mergeCell ref="T7:V7"/>
    <mergeCell ref="I7:P7"/>
    <mergeCell ref="Q7:S7"/>
    <mergeCell ref="C10:AB10"/>
    <mergeCell ref="C11:E11"/>
    <mergeCell ref="G11:J14"/>
    <mergeCell ref="K11:M13"/>
    <mergeCell ref="N11:P11"/>
    <mergeCell ref="Q11:S12"/>
    <mergeCell ref="T11:V12"/>
    <mergeCell ref="W11:Y12"/>
    <mergeCell ref="N12:P13"/>
    <mergeCell ref="C12:E12"/>
    <mergeCell ref="Z11:AB13"/>
    <mergeCell ref="W15:Y17"/>
    <mergeCell ref="C15:E15"/>
    <mergeCell ref="N16:P17"/>
    <mergeCell ref="N14:P15"/>
    <mergeCell ref="C14:E14"/>
    <mergeCell ref="G15:J16"/>
    <mergeCell ref="K15:M16"/>
    <mergeCell ref="Q15:S16"/>
    <mergeCell ref="T15:V16"/>
    <mergeCell ref="Q13:S14"/>
    <mergeCell ref="C13:F13"/>
    <mergeCell ref="T13:V14"/>
    <mergeCell ref="W13:Y14"/>
    <mergeCell ref="K14:M14"/>
    <mergeCell ref="C16:E17"/>
    <mergeCell ref="Q29:R29"/>
    <mergeCell ref="S29:T29"/>
    <mergeCell ref="C31:D31"/>
    <mergeCell ref="C21:P28"/>
    <mergeCell ref="Q21:X21"/>
    <mergeCell ref="Q28:R28"/>
    <mergeCell ref="T28:V28"/>
  </mergeCells>
  <conditionalFormatting sqref="L9:N9">
    <cfRule type="containsText" dxfId="56" priority="7" operator="containsText" text="80">
      <formula>NOT(ISERROR(SEARCH("80",L9)))</formula>
    </cfRule>
  </conditionalFormatting>
  <conditionalFormatting sqref="T9">
    <cfRule type="containsText" dxfId="55" priority="6" operator="containsText" text="460">
      <formula>NOT(ISERROR(SEARCH("460",T9)))</formula>
    </cfRule>
  </conditionalFormatting>
  <conditionalFormatting sqref="U9">
    <cfRule type="containsText" dxfId="54" priority="4" operator="containsText" text="19">
      <formula>NOT(ISERROR(SEARCH("19",U9)))</formula>
    </cfRule>
    <cfRule type="containsText" dxfId="53" priority="5" operator="containsText" text="10">
      <formula>NOT(ISERROR(SEARCH("10",U9)))</formula>
    </cfRule>
  </conditionalFormatting>
  <conditionalFormatting sqref="V9">
    <cfRule type="containsText" dxfId="52" priority="3" operator="containsText" text="3">
      <formula>NOT(ISERROR(SEARCH("3",V9)))</formula>
    </cfRule>
  </conditionalFormatting>
  <conditionalFormatting sqref="V41">
    <cfRule type="expression" dxfId="51" priority="1">
      <formula>AND($R$9&lt;3000)=TRUE</formula>
    </cfRule>
  </conditionalFormatting>
  <conditionalFormatting sqref="Z11 V43">
    <cfRule type="expression" dxfId="50" priority="2">
      <formula>AND($R$9&lt;3000)=TRUE</formula>
    </cfRule>
  </conditionalFormatting>
  <dataValidations count="1">
    <dataValidation type="list" allowBlank="1" showInputMessage="1" showErrorMessage="1" sqref="O4:S4" xr:uid="{00000000-0002-0000-0000-000000000000}">
      <formula1>BMKPlatEdgeii</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D08A-2CEF-4F5A-AE3D-EB5B66448ED3}">
  <sheetPr codeName="Sheet2">
    <tabColor rgb="FF00B050"/>
  </sheetPr>
  <dimension ref="B1:AC50"/>
  <sheetViews>
    <sheetView topLeftCell="H8" workbookViewId="0">
      <selection activeCell="S29" sqref="S29:T29"/>
    </sheetView>
  </sheetViews>
  <sheetFormatPr defaultColWidth="10.875" defaultRowHeight="15.75"/>
  <cols>
    <col min="1" max="2" width="2.625" customWidth="1"/>
    <col min="3" max="12" width="11.25" customWidth="1"/>
    <col min="13" max="13" width="9.75" customWidth="1"/>
    <col min="14" max="28" width="11.25" customWidth="1"/>
    <col min="29" max="29" width="2.625" customWidth="1"/>
  </cols>
  <sheetData>
    <row r="1" spans="2:29" ht="16.5" thickBot="1"/>
    <row r="2" spans="2:29" ht="24.95" customHeight="1" thickBot="1">
      <c r="B2" s="60"/>
      <c r="C2" s="61"/>
      <c r="D2" s="62"/>
      <c r="E2" s="63"/>
      <c r="F2" s="64"/>
      <c r="G2" s="64"/>
      <c r="H2" s="64"/>
      <c r="I2" s="64"/>
      <c r="J2" s="64"/>
      <c r="K2" s="64"/>
      <c r="L2" s="64"/>
      <c r="M2" s="179" t="s">
        <v>75</v>
      </c>
      <c r="N2" s="179"/>
      <c r="O2" s="179"/>
      <c r="P2" s="179"/>
      <c r="Q2" s="179"/>
      <c r="R2" s="179"/>
      <c r="S2" s="179"/>
      <c r="T2" s="179"/>
      <c r="U2" s="149"/>
      <c r="V2" s="65"/>
      <c r="W2" s="65"/>
      <c r="X2" s="65"/>
      <c r="Y2" s="65"/>
      <c r="Z2" s="65"/>
      <c r="AA2" s="65"/>
      <c r="AB2" s="73" t="s">
        <v>1</v>
      </c>
      <c r="AC2" s="66"/>
    </row>
    <row r="3" spans="2:29" ht="15.95" customHeight="1">
      <c r="B3" s="67"/>
      <c r="AC3" s="68"/>
    </row>
    <row r="4" spans="2:29" ht="18.75">
      <c r="B4" s="67"/>
      <c r="N4" t="s">
        <v>2</v>
      </c>
      <c r="O4" s="180" t="s">
        <v>76</v>
      </c>
      <c r="P4" s="181"/>
      <c r="Q4" s="181"/>
      <c r="R4" s="181"/>
      <c r="S4" s="181"/>
      <c r="T4" s="27"/>
      <c r="U4" s="27"/>
      <c r="AC4" s="68"/>
    </row>
    <row r="5" spans="2:29" ht="16.5" thickBot="1">
      <c r="B5" s="67"/>
      <c r="AC5" s="68"/>
    </row>
    <row r="6" spans="2:29" ht="18" customHeight="1" thickBot="1">
      <c r="B6" s="67"/>
      <c r="C6" s="182"/>
      <c r="D6" s="183"/>
      <c r="E6" s="183"/>
      <c r="F6" s="49"/>
      <c r="G6" s="184" t="s">
        <v>4</v>
      </c>
      <c r="H6" s="184"/>
      <c r="I6" s="184"/>
      <c r="J6" s="184"/>
      <c r="K6" s="184"/>
      <c r="L6" s="184"/>
      <c r="M6" s="184"/>
      <c r="N6" s="184"/>
      <c r="O6" s="184"/>
      <c r="P6" s="184"/>
      <c r="Q6" s="184"/>
      <c r="R6" s="184"/>
      <c r="S6" s="184"/>
      <c r="T6" s="184"/>
      <c r="U6" s="184"/>
      <c r="V6" s="184"/>
      <c r="W6" s="184"/>
      <c r="X6" s="184"/>
      <c r="Y6" s="184"/>
      <c r="Z6" s="184"/>
      <c r="AA6" s="50"/>
      <c r="AB6" s="59"/>
      <c r="AC6" s="68"/>
    </row>
    <row r="7" spans="2:29" ht="16.5" thickBot="1">
      <c r="B7" s="67"/>
      <c r="C7" s="7"/>
      <c r="D7" s="7"/>
      <c r="E7" s="7"/>
      <c r="F7" s="7"/>
      <c r="G7" s="7"/>
      <c r="H7" s="9"/>
      <c r="I7" s="182" t="s">
        <v>5</v>
      </c>
      <c r="J7" s="185"/>
      <c r="K7" s="185"/>
      <c r="L7" s="185"/>
      <c r="M7" s="185"/>
      <c r="N7" s="185"/>
      <c r="O7" s="185"/>
      <c r="P7" s="186"/>
      <c r="Q7" s="182" t="s">
        <v>6</v>
      </c>
      <c r="R7" s="185"/>
      <c r="S7" s="186"/>
      <c r="T7" s="182" t="s">
        <v>7</v>
      </c>
      <c r="U7" s="185"/>
      <c r="V7" s="186"/>
      <c r="W7" s="8"/>
      <c r="X7" s="8"/>
      <c r="Y7" s="58"/>
      <c r="Z7" s="58"/>
      <c r="AA7" s="56"/>
      <c r="AB7" s="9"/>
      <c r="AC7" s="68"/>
    </row>
    <row r="8" spans="2:29" ht="42.95" customHeight="1" thickBot="1">
      <c r="B8" s="67"/>
      <c r="C8" s="42" t="s">
        <v>8</v>
      </c>
      <c r="D8" s="42" t="s">
        <v>9</v>
      </c>
      <c r="E8" s="42" t="s">
        <v>10</v>
      </c>
      <c r="F8" s="42" t="s">
        <v>11</v>
      </c>
      <c r="G8" s="42" t="s">
        <v>12</v>
      </c>
      <c r="H8" s="42" t="s">
        <v>13</v>
      </c>
      <c r="I8" s="42" t="s">
        <v>14</v>
      </c>
      <c r="J8" s="42" t="s">
        <v>15</v>
      </c>
      <c r="K8" s="42" t="s">
        <v>16</v>
      </c>
      <c r="L8" s="42" t="s">
        <v>17</v>
      </c>
      <c r="M8" s="42" t="s">
        <v>18</v>
      </c>
      <c r="N8" s="42" t="s">
        <v>19</v>
      </c>
      <c r="O8" s="42" t="s">
        <v>20</v>
      </c>
      <c r="P8" s="42" t="s">
        <v>21</v>
      </c>
      <c r="Q8" s="46" t="s">
        <v>22</v>
      </c>
      <c r="R8" s="46" t="s">
        <v>23</v>
      </c>
      <c r="S8" s="46" t="s">
        <v>24</v>
      </c>
      <c r="T8" s="46" t="s">
        <v>25</v>
      </c>
      <c r="U8" s="46" t="s">
        <v>26</v>
      </c>
      <c r="V8" s="46" t="s">
        <v>27</v>
      </c>
      <c r="W8" s="42" t="s">
        <v>28</v>
      </c>
      <c r="X8" s="42" t="s">
        <v>29</v>
      </c>
      <c r="Y8" s="42" t="s">
        <v>30</v>
      </c>
      <c r="Z8" s="42" t="s">
        <v>31</v>
      </c>
      <c r="AA8" s="57" t="s">
        <v>32</v>
      </c>
      <c r="AB8" s="55" t="s">
        <v>33</v>
      </c>
      <c r="AC8" s="68"/>
    </row>
    <row r="9" spans="2:29" ht="39.75" customHeight="1" thickBot="1">
      <c r="B9" s="67"/>
      <c r="C9" s="48" t="s">
        <v>34</v>
      </c>
      <c r="D9" s="48" t="s">
        <v>35</v>
      </c>
      <c r="E9" s="48" t="s">
        <v>36</v>
      </c>
      <c r="F9" s="101" t="s">
        <v>37</v>
      </c>
      <c r="G9" s="46" t="str">
        <f>VLOOKUP($O4,BMKPlatwEDGE,6,FALSE)</f>
        <v>5220 / 5670</v>
      </c>
      <c r="H9" s="46">
        <f>VLOOKUP($O4,BMKPlatwEDGE,7,FALSE)</f>
        <v>94.5</v>
      </c>
      <c r="I9" s="95">
        <f>S28</f>
        <v>100</v>
      </c>
      <c r="J9" s="46">
        <f>VLOOKUP($O4,BMKPlatwEDGE,9,FALSE)</f>
        <v>110</v>
      </c>
      <c r="K9" s="100" t="str">
        <f>$S$29</f>
        <v>150 PSI</v>
      </c>
      <c r="L9" s="46" t="str">
        <f>VLOOKUP($O4,BMKPlatwEDGE,11,FALSE)</f>
        <v>80 
150</v>
      </c>
      <c r="M9" s="47" t="s">
        <v>38</v>
      </c>
      <c r="N9" s="47" t="s">
        <v>38</v>
      </c>
      <c r="O9" s="46" t="str">
        <f>VLOOKUP($O4,BMKPlatwEDGE,14,FALSE)</f>
        <v>75 / 600</v>
      </c>
      <c r="P9" s="46" t="str">
        <f>VLOOKUP($O4,BMKPlatwEDGE,15,FALSE)</f>
        <v>4.0 PSIG @ 500 GPM</v>
      </c>
      <c r="Q9" s="46" t="str">
        <f>VLOOKUP($O4,BMKPlatwEDGE,16,FALSE)</f>
        <v>NATURAL GAS</v>
      </c>
      <c r="R9" s="46">
        <f>VLOOKUP($O4,BMKPlatwEDGE,17,FALSE)</f>
        <v>6000</v>
      </c>
      <c r="S9" s="48" t="str">
        <f>VLOOKUP($O4,BMKPlatwEDGE,18,FALSE)</f>
        <v>4 - 10
14 - 56</v>
      </c>
      <c r="T9" s="46" t="str">
        <f>VLOOKUP($O4,BMKPlatwEDGE,19,FALSE)</f>
        <v>208/3/60
460/3/60
575/3/60</v>
      </c>
      <c r="U9" s="46" t="str">
        <f>VLOOKUP($O4,BMKPlatwEDGE,20,FALSE)</f>
        <v>19
9
7</v>
      </c>
      <c r="V9" s="46">
        <f>VLOOKUP($O4,BMKPlatwEDGE,21,FALSE)</f>
        <v>5</v>
      </c>
      <c r="W9" s="46" t="str">
        <f>VLOOKUP($O4,BMKPlatwEDGE,22,FALSE)</f>
        <v>108 x 35 x 79</v>
      </c>
      <c r="X9" s="46">
        <f>VLOOKUP($O4,BMKPlatwEDGE,23,FALSE)</f>
        <v>3920</v>
      </c>
      <c r="Y9" s="46" t="s">
        <v>39</v>
      </c>
      <c r="Z9" s="101" t="s">
        <v>40</v>
      </c>
      <c r="AA9" s="46" t="s">
        <v>41</v>
      </c>
      <c r="AB9" s="46" t="str">
        <f>VLOOKUP($O4,BMKPlatwEDGE,27,FALSE)</f>
        <v>BMK PLATINUM 6000 WITH EDGE[ii]</v>
      </c>
      <c r="AC9" s="68"/>
    </row>
    <row r="10" spans="2:29" ht="16.5" customHeight="1">
      <c r="B10" s="67"/>
      <c r="C10" s="173" t="s">
        <v>42</v>
      </c>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5"/>
      <c r="AC10" s="68"/>
    </row>
    <row r="11" spans="2:29" ht="16.5" customHeight="1">
      <c r="B11" s="67"/>
      <c r="C11" s="169" t="s">
        <v>43</v>
      </c>
      <c r="D11" s="167"/>
      <c r="E11" s="167"/>
      <c r="F11" s="167"/>
      <c r="G11" s="176" t="s">
        <v>44</v>
      </c>
      <c r="H11" s="176"/>
      <c r="I11" s="176"/>
      <c r="J11" s="176"/>
      <c r="K11" s="167" t="s">
        <v>45</v>
      </c>
      <c r="L11" s="167"/>
      <c r="M11" s="167"/>
      <c r="N11" s="167" t="s">
        <v>46</v>
      </c>
      <c r="O11" s="167"/>
      <c r="P11" s="167"/>
      <c r="Q11" s="167" t="s">
        <v>47</v>
      </c>
      <c r="R11" s="167"/>
      <c r="S11" s="167"/>
      <c r="T11" s="167" t="s">
        <v>48</v>
      </c>
      <c r="U11" s="167"/>
      <c r="V11" s="167"/>
      <c r="W11" s="167" t="s">
        <v>77</v>
      </c>
      <c r="X11" s="167"/>
      <c r="Y11" s="167"/>
      <c r="Z11" s="177" t="s">
        <v>50</v>
      </c>
      <c r="AA11" s="177"/>
      <c r="AB11" s="178"/>
      <c r="AC11" s="68"/>
    </row>
    <row r="12" spans="2:29" ht="16.5" customHeight="1">
      <c r="B12" s="67"/>
      <c r="C12" s="169" t="str">
        <f>VLOOKUP($O4,BMKPlatwEDGE,28,FALSE)</f>
        <v>2. MINIMUM TURNDOWN: 15:1</v>
      </c>
      <c r="D12" s="167"/>
      <c r="E12" s="167"/>
      <c r="F12" s="167"/>
      <c r="G12" s="176"/>
      <c r="H12" s="176"/>
      <c r="I12" s="176"/>
      <c r="J12" s="176"/>
      <c r="K12" s="167"/>
      <c r="L12" s="167"/>
      <c r="M12" s="167"/>
      <c r="N12" s="167" t="s">
        <v>51</v>
      </c>
      <c r="O12" s="167"/>
      <c r="P12" s="167"/>
      <c r="Q12" s="167"/>
      <c r="R12" s="167"/>
      <c r="S12" s="167"/>
      <c r="T12" s="167"/>
      <c r="U12" s="167"/>
      <c r="V12" s="167"/>
      <c r="W12" s="167"/>
      <c r="X12" s="167"/>
      <c r="Y12" s="167"/>
      <c r="Z12" s="177"/>
      <c r="AA12" s="177"/>
      <c r="AB12" s="178"/>
      <c r="AC12" s="68"/>
    </row>
    <row r="13" spans="2:29" ht="16.5" customHeight="1">
      <c r="B13" s="67"/>
      <c r="C13" s="169" t="s">
        <v>52</v>
      </c>
      <c r="D13" s="167"/>
      <c r="E13" s="167"/>
      <c r="F13" s="167"/>
      <c r="G13" s="176"/>
      <c r="H13" s="176"/>
      <c r="I13" s="176"/>
      <c r="J13" s="176"/>
      <c r="K13" s="167"/>
      <c r="L13" s="167"/>
      <c r="M13" s="167"/>
      <c r="N13" s="167"/>
      <c r="O13" s="167"/>
      <c r="P13" s="167"/>
      <c r="Q13" s="167" t="s">
        <v>53</v>
      </c>
      <c r="R13" s="167"/>
      <c r="S13" s="167"/>
      <c r="T13" s="171" t="s">
        <v>54</v>
      </c>
      <c r="U13" s="171"/>
      <c r="V13" s="171"/>
      <c r="W13" s="167" t="s">
        <v>55</v>
      </c>
      <c r="X13" s="167"/>
      <c r="Y13" s="167"/>
      <c r="Z13" s="154"/>
      <c r="AA13" s="154"/>
      <c r="AB13" s="155"/>
      <c r="AC13" s="68"/>
    </row>
    <row r="14" spans="2:29" ht="16.5" customHeight="1">
      <c r="B14" s="67"/>
      <c r="C14" s="169" t="s">
        <v>56</v>
      </c>
      <c r="D14" s="167"/>
      <c r="E14" s="167"/>
      <c r="F14" s="167"/>
      <c r="G14" s="176"/>
      <c r="H14" s="176"/>
      <c r="I14" s="176"/>
      <c r="J14" s="176"/>
      <c r="K14" s="167" t="s">
        <v>57</v>
      </c>
      <c r="L14" s="167"/>
      <c r="M14" s="167"/>
      <c r="N14" s="167" t="s">
        <v>58</v>
      </c>
      <c r="O14" s="167"/>
      <c r="P14" s="167"/>
      <c r="Q14" s="167"/>
      <c r="R14" s="167"/>
      <c r="S14" s="167"/>
      <c r="T14" s="171"/>
      <c r="U14" s="171"/>
      <c r="V14" s="171"/>
      <c r="W14" s="167"/>
      <c r="X14" s="167"/>
      <c r="Y14" s="167"/>
      <c r="Z14" s="129"/>
      <c r="AA14" s="129"/>
      <c r="AB14" s="52"/>
      <c r="AC14" s="68"/>
    </row>
    <row r="15" spans="2:29" ht="16.5" customHeight="1">
      <c r="B15" s="67"/>
      <c r="C15" s="169" t="s">
        <v>59</v>
      </c>
      <c r="D15" s="167"/>
      <c r="E15" s="167"/>
      <c r="F15" s="167"/>
      <c r="G15" s="167" t="s">
        <v>60</v>
      </c>
      <c r="H15" s="167"/>
      <c r="I15" s="167"/>
      <c r="J15" s="167"/>
      <c r="K15" s="167" t="s">
        <v>61</v>
      </c>
      <c r="L15" s="167"/>
      <c r="M15" s="167"/>
      <c r="N15" s="167"/>
      <c r="O15" s="167"/>
      <c r="P15" s="167"/>
      <c r="Q15" s="171" t="s">
        <v>62</v>
      </c>
      <c r="R15" s="171"/>
      <c r="S15" s="171"/>
      <c r="T15" s="171" t="s">
        <v>63</v>
      </c>
      <c r="U15" s="171"/>
      <c r="V15" s="171"/>
      <c r="W15" s="167" t="s">
        <v>64</v>
      </c>
      <c r="X15" s="167"/>
      <c r="Y15" s="167"/>
      <c r="Z15" s="129"/>
      <c r="AA15" s="129"/>
      <c r="AB15" s="52"/>
      <c r="AC15" s="68"/>
    </row>
    <row r="16" spans="2:29" ht="16.5" customHeight="1">
      <c r="B16" s="67"/>
      <c r="C16" s="169" t="s">
        <v>65</v>
      </c>
      <c r="D16" s="167"/>
      <c r="E16" s="167"/>
      <c r="F16" s="167"/>
      <c r="G16" s="167"/>
      <c r="H16" s="167"/>
      <c r="I16" s="167"/>
      <c r="J16" s="167"/>
      <c r="K16" s="167"/>
      <c r="L16" s="167"/>
      <c r="M16" s="167"/>
      <c r="N16" s="167" t="s">
        <v>66</v>
      </c>
      <c r="O16" s="167"/>
      <c r="P16" s="167"/>
      <c r="Q16" s="171"/>
      <c r="R16" s="171"/>
      <c r="S16" s="171"/>
      <c r="T16" s="171"/>
      <c r="U16" s="171"/>
      <c r="V16" s="171"/>
      <c r="W16" s="167"/>
      <c r="X16" s="167"/>
      <c r="Y16" s="167"/>
      <c r="Z16" s="129"/>
      <c r="AA16" s="129"/>
      <c r="AB16" s="52"/>
      <c r="AC16" s="68"/>
    </row>
    <row r="17" spans="2:29" ht="15" customHeight="1" thickBot="1">
      <c r="B17" s="67"/>
      <c r="C17" s="172"/>
      <c r="D17" s="168"/>
      <c r="E17" s="168"/>
      <c r="F17" s="168"/>
      <c r="G17" s="168"/>
      <c r="H17" s="168"/>
      <c r="I17" s="168"/>
      <c r="J17" s="168"/>
      <c r="K17" s="168"/>
      <c r="L17" s="168"/>
      <c r="M17" s="168"/>
      <c r="N17" s="168"/>
      <c r="O17" s="168"/>
      <c r="P17" s="168"/>
      <c r="Q17" s="140"/>
      <c r="R17" s="140"/>
      <c r="S17" s="140"/>
      <c r="T17" s="140"/>
      <c r="U17" s="140"/>
      <c r="V17" s="140"/>
      <c r="W17" s="168"/>
      <c r="X17" s="168"/>
      <c r="Y17" s="168"/>
      <c r="Z17" s="130"/>
      <c r="AA17" s="130"/>
      <c r="AB17" s="53"/>
      <c r="AC17" s="68"/>
    </row>
    <row r="18" spans="2:29" ht="16.5" customHeight="1">
      <c r="B18" s="67"/>
      <c r="AC18" s="68"/>
    </row>
    <row r="19" spans="2:29" ht="16.5" customHeight="1">
      <c r="B19" s="67"/>
      <c r="AC19" s="68"/>
    </row>
    <row r="20" spans="2:29">
      <c r="B20" s="67"/>
      <c r="AC20" s="68"/>
    </row>
    <row r="21" spans="2:29">
      <c r="B21" s="67"/>
      <c r="C21" s="163" t="s">
        <v>67</v>
      </c>
      <c r="D21" s="164"/>
      <c r="E21" s="164"/>
      <c r="F21" s="164"/>
      <c r="G21" s="164"/>
      <c r="H21" s="164"/>
      <c r="I21" s="164"/>
      <c r="J21" s="164"/>
      <c r="K21" s="164"/>
      <c r="L21" s="164"/>
      <c r="M21" s="164"/>
      <c r="N21" s="164"/>
      <c r="O21" s="164"/>
      <c r="P21" s="165"/>
      <c r="Q21" s="163" t="s">
        <v>68</v>
      </c>
      <c r="R21" s="166"/>
      <c r="S21" s="166"/>
      <c r="T21" s="166"/>
      <c r="U21" s="166"/>
      <c r="V21" s="166"/>
      <c r="W21" s="166"/>
      <c r="X21" s="166"/>
      <c r="Y21" s="16"/>
      <c r="Z21" s="16"/>
      <c r="AA21" s="16"/>
      <c r="AB21" s="16"/>
      <c r="AC21" s="68"/>
    </row>
    <row r="22" spans="2:29">
      <c r="B22" s="67"/>
      <c r="C22" s="164"/>
      <c r="D22" s="164"/>
      <c r="E22" s="164"/>
      <c r="F22" s="164"/>
      <c r="G22" s="164"/>
      <c r="H22" s="164"/>
      <c r="I22" s="164"/>
      <c r="J22" s="164"/>
      <c r="K22" s="164"/>
      <c r="L22" s="164"/>
      <c r="M22" s="164"/>
      <c r="N22" s="164"/>
      <c r="O22" s="164"/>
      <c r="P22" s="165"/>
      <c r="Q22" s="26"/>
      <c r="Y22" s="16"/>
      <c r="Z22" s="16"/>
      <c r="AA22" s="16"/>
      <c r="AB22" s="16"/>
      <c r="AC22" s="68"/>
    </row>
    <row r="23" spans="2:29">
      <c r="B23" s="67"/>
      <c r="C23" s="164"/>
      <c r="D23" s="164"/>
      <c r="E23" s="164"/>
      <c r="F23" s="164"/>
      <c r="G23" s="164"/>
      <c r="H23" s="164"/>
      <c r="I23" s="164"/>
      <c r="J23" s="164"/>
      <c r="K23" s="164"/>
      <c r="L23" s="164"/>
      <c r="M23" s="164"/>
      <c r="N23" s="164"/>
      <c r="O23" s="164"/>
      <c r="P23" s="165"/>
      <c r="Q23" s="26" t="s">
        <v>69</v>
      </c>
      <c r="Y23" s="16"/>
      <c r="Z23" s="16"/>
      <c r="AA23" s="16"/>
      <c r="AB23" s="16"/>
      <c r="AC23" s="68"/>
    </row>
    <row r="24" spans="2:29">
      <c r="B24" s="67"/>
      <c r="C24" s="164"/>
      <c r="D24" s="164"/>
      <c r="E24" s="164"/>
      <c r="F24" s="164"/>
      <c r="G24" s="164"/>
      <c r="H24" s="164"/>
      <c r="I24" s="164"/>
      <c r="J24" s="164"/>
      <c r="K24" s="164"/>
      <c r="L24" s="164"/>
      <c r="M24" s="164"/>
      <c r="N24" s="164"/>
      <c r="O24" s="164"/>
      <c r="P24" s="165"/>
      <c r="Q24" s="26" t="s">
        <v>70</v>
      </c>
      <c r="Y24" s="16"/>
      <c r="Z24" s="16"/>
      <c r="AA24" s="16"/>
      <c r="AB24" s="16"/>
      <c r="AC24" s="68"/>
    </row>
    <row r="25" spans="2:29">
      <c r="B25" s="67"/>
      <c r="C25" s="164"/>
      <c r="D25" s="164"/>
      <c r="E25" s="164"/>
      <c r="F25" s="164"/>
      <c r="G25" s="164"/>
      <c r="H25" s="164"/>
      <c r="I25" s="164"/>
      <c r="J25" s="164"/>
      <c r="K25" s="164"/>
      <c r="L25" s="164"/>
      <c r="M25" s="164"/>
      <c r="N25" s="164"/>
      <c r="O25" s="164"/>
      <c r="P25" s="165"/>
      <c r="Q25" s="26" t="s">
        <v>71</v>
      </c>
      <c r="Y25" s="16"/>
      <c r="Z25" s="16"/>
      <c r="AA25" s="16"/>
      <c r="AB25" s="16"/>
      <c r="AC25" s="68"/>
    </row>
    <row r="26" spans="2:29">
      <c r="B26" s="67"/>
      <c r="C26" s="164"/>
      <c r="D26" s="164"/>
      <c r="E26" s="164"/>
      <c r="F26" s="164"/>
      <c r="G26" s="164"/>
      <c r="H26" s="164"/>
      <c r="I26" s="164"/>
      <c r="J26" s="164"/>
      <c r="K26" s="164"/>
      <c r="L26" s="164"/>
      <c r="M26" s="164"/>
      <c r="N26" s="164"/>
      <c r="O26" s="164"/>
      <c r="P26" s="165"/>
      <c r="Q26" s="26"/>
      <c r="Y26" s="16"/>
      <c r="Z26" s="16"/>
      <c r="AA26" s="16"/>
      <c r="AB26" s="16"/>
      <c r="AC26" s="68"/>
    </row>
    <row r="27" spans="2:29">
      <c r="B27" s="67"/>
      <c r="C27" s="164"/>
      <c r="D27" s="164"/>
      <c r="E27" s="164"/>
      <c r="F27" s="164"/>
      <c r="G27" s="164"/>
      <c r="H27" s="164"/>
      <c r="I27" s="164"/>
      <c r="J27" s="164"/>
      <c r="K27" s="164"/>
      <c r="L27" s="164"/>
      <c r="M27" s="164"/>
      <c r="N27" s="164"/>
      <c r="O27" s="164"/>
      <c r="P27" s="165"/>
      <c r="Q27" s="21"/>
      <c r="R27" s="22"/>
      <c r="S27" s="22"/>
      <c r="T27" s="22"/>
      <c r="U27" s="22"/>
      <c r="V27" s="22"/>
      <c r="W27" s="22"/>
      <c r="X27" s="22"/>
      <c r="Y27" s="17"/>
      <c r="Z27" s="17"/>
      <c r="AA27" s="17"/>
      <c r="AB27" s="17"/>
      <c r="AC27" s="68"/>
    </row>
    <row r="28" spans="2:29">
      <c r="B28" s="67"/>
      <c r="C28" s="164"/>
      <c r="D28" s="164"/>
      <c r="E28" s="164"/>
      <c r="F28" s="164"/>
      <c r="G28" s="164"/>
      <c r="H28" s="164"/>
      <c r="I28" s="164"/>
      <c r="J28" s="164"/>
      <c r="K28" s="164"/>
      <c r="L28" s="164"/>
      <c r="M28" s="164"/>
      <c r="N28" s="164"/>
      <c r="O28" s="164"/>
      <c r="P28" s="165"/>
      <c r="Q28" s="159" t="s">
        <v>72</v>
      </c>
      <c r="R28" s="160"/>
      <c r="S28" s="96">
        <v>100</v>
      </c>
      <c r="T28" s="160" t="s">
        <v>73</v>
      </c>
      <c r="U28" s="160"/>
      <c r="V28" s="160"/>
      <c r="Y28" s="16"/>
      <c r="Z28" s="16"/>
      <c r="AA28" s="16"/>
      <c r="AB28" s="16"/>
      <c r="AC28" s="68"/>
    </row>
    <row r="29" spans="2:29">
      <c r="B29" s="67"/>
      <c r="C29" s="51"/>
      <c r="D29" s="51"/>
      <c r="E29" s="26"/>
      <c r="F29" s="26"/>
      <c r="G29" s="26"/>
      <c r="H29" s="26"/>
      <c r="I29" s="26"/>
      <c r="J29" s="26"/>
      <c r="K29" s="26"/>
      <c r="L29" s="26"/>
      <c r="M29" s="26"/>
      <c r="N29" s="26"/>
      <c r="O29" s="26"/>
      <c r="Q29" s="159" t="s">
        <v>74</v>
      </c>
      <c r="R29" s="160"/>
      <c r="S29" s="161" t="str">
        <f>INDEX(RVpressure,MATCH(1,RV_BMKPEDGEii,0))&amp;" PSI"</f>
        <v>150 PSI</v>
      </c>
      <c r="T29" s="160"/>
      <c r="U29" s="109">
        <f>IF(S28*120%&lt;=S28+15,S28+15,S28*120%)</f>
        <v>120</v>
      </c>
      <c r="V29" s="97"/>
      <c r="Y29" s="16"/>
      <c r="Z29" s="16"/>
      <c r="AA29" s="16"/>
      <c r="AB29" s="16"/>
      <c r="AC29" s="68"/>
    </row>
    <row r="30" spans="2:29">
      <c r="B30" s="67"/>
      <c r="C30" s="51"/>
      <c r="D30" s="51"/>
      <c r="E30" s="26"/>
      <c r="F30" s="26"/>
      <c r="G30" s="26"/>
      <c r="H30" s="26"/>
      <c r="I30" s="26"/>
      <c r="J30" s="26"/>
      <c r="K30" s="26"/>
      <c r="L30" s="26"/>
      <c r="M30" s="26"/>
      <c r="N30" s="26"/>
      <c r="O30" s="26"/>
      <c r="R30" s="26"/>
      <c r="S30" s="26"/>
      <c r="T30" s="26"/>
      <c r="U30" s="26"/>
      <c r="V30" s="26"/>
      <c r="W30" s="26"/>
      <c r="X30" s="26"/>
      <c r="Y30" s="28"/>
      <c r="Z30" s="28"/>
      <c r="AA30" s="28"/>
      <c r="AB30" s="28"/>
      <c r="AC30" s="68"/>
    </row>
    <row r="31" spans="2:29">
      <c r="B31" s="67"/>
      <c r="C31" s="162"/>
      <c r="D31" s="162"/>
      <c r="E31" s="26"/>
      <c r="F31" s="26"/>
      <c r="G31" s="26"/>
      <c r="H31" s="26"/>
      <c r="I31" s="26"/>
      <c r="J31" s="26"/>
      <c r="K31" s="26"/>
      <c r="L31" s="26"/>
      <c r="M31" s="26"/>
      <c r="N31" s="26"/>
      <c r="O31" s="26"/>
      <c r="Q31" s="26"/>
      <c r="R31" s="26"/>
      <c r="S31" s="26"/>
      <c r="T31" s="26"/>
      <c r="U31" s="26"/>
      <c r="V31" s="26"/>
      <c r="W31" s="26"/>
      <c r="X31" s="26"/>
      <c r="Y31" s="28"/>
      <c r="Z31" s="28"/>
      <c r="AA31" s="28"/>
      <c r="AB31" s="28"/>
      <c r="AC31" s="68"/>
    </row>
    <row r="32" spans="2:29" ht="16.5" thickBot="1">
      <c r="B32" s="69"/>
      <c r="C32" s="70"/>
      <c r="D32" s="70"/>
      <c r="E32" s="71"/>
      <c r="F32" s="71"/>
      <c r="G32" s="71"/>
      <c r="H32" s="71"/>
      <c r="I32" s="71"/>
      <c r="J32" s="71"/>
      <c r="K32" s="71"/>
      <c r="L32" s="71"/>
      <c r="M32" s="71"/>
      <c r="N32" s="71"/>
      <c r="O32" s="71"/>
      <c r="P32" s="70"/>
      <c r="Q32" s="70"/>
      <c r="R32" s="70"/>
      <c r="S32" s="70"/>
      <c r="T32" s="70"/>
      <c r="U32" s="70"/>
      <c r="V32" s="70"/>
      <c r="W32" s="70"/>
      <c r="X32" s="70"/>
      <c r="Y32" s="72"/>
      <c r="Z32" s="72"/>
      <c r="AA32" s="72"/>
      <c r="AB32" s="72"/>
      <c r="AC32" s="74"/>
    </row>
    <row r="33" spans="3:28">
      <c r="C33" s="25"/>
      <c r="D33" s="25"/>
      <c r="E33" s="25"/>
      <c r="F33" s="25"/>
      <c r="G33" s="25"/>
      <c r="H33" s="25"/>
      <c r="I33" s="20"/>
      <c r="J33" s="20"/>
      <c r="K33" s="20"/>
      <c r="L33" s="20"/>
      <c r="M33" s="20"/>
      <c r="N33" s="20"/>
      <c r="O33" s="20"/>
      <c r="Y33" s="16"/>
      <c r="Z33" s="16"/>
      <c r="AA33" s="16"/>
      <c r="AB33" s="16"/>
    </row>
    <row r="34" spans="3:28" ht="15.95" customHeight="1">
      <c r="C34" s="25"/>
      <c r="D34" s="25"/>
      <c r="E34" s="25"/>
      <c r="F34" s="25"/>
      <c r="L34" s="23"/>
      <c r="M34" s="24"/>
      <c r="N34" s="24"/>
    </row>
    <row r="35" spans="3:28">
      <c r="C35" s="25"/>
      <c r="D35" s="25"/>
      <c r="G35" s="44"/>
      <c r="H35" s="44"/>
      <c r="I35" s="44"/>
      <c r="J35" s="44"/>
    </row>
    <row r="36" spans="3:28">
      <c r="C36" s="25"/>
      <c r="D36" s="25"/>
      <c r="E36" s="25"/>
      <c r="F36" s="25"/>
      <c r="G36" s="25"/>
      <c r="H36" s="25"/>
      <c r="L36" s="25"/>
      <c r="M36" s="25"/>
    </row>
    <row r="37" spans="3:28">
      <c r="C37" s="25"/>
      <c r="D37" s="25"/>
      <c r="E37" s="25"/>
      <c r="F37" s="25"/>
      <c r="G37" s="25"/>
      <c r="H37" s="25"/>
      <c r="L37" s="25"/>
      <c r="M37" s="25"/>
      <c r="Q37" s="25"/>
      <c r="U37" s="25"/>
      <c r="V37" s="19"/>
      <c r="W37" s="19"/>
      <c r="X37" s="25"/>
      <c r="Y37" s="25"/>
      <c r="Z37" s="25"/>
      <c r="AA37" s="25"/>
      <c r="AB37" s="25"/>
    </row>
    <row r="38" spans="3:28">
      <c r="C38" s="25"/>
      <c r="G38" s="19"/>
      <c r="H38" s="19"/>
      <c r="I38" s="19"/>
      <c r="J38" s="19"/>
      <c r="K38" s="25"/>
      <c r="L38" s="25"/>
      <c r="M38" s="25"/>
      <c r="N38" s="24"/>
      <c r="O38" s="25"/>
      <c r="P38" s="25"/>
      <c r="Q38" s="25"/>
      <c r="R38" s="25"/>
      <c r="S38" s="19"/>
      <c r="T38" s="19"/>
      <c r="U38" s="19"/>
      <c r="V38" s="19"/>
      <c r="W38" s="19"/>
      <c r="X38" s="25"/>
      <c r="Y38" s="25"/>
      <c r="Z38" s="25"/>
      <c r="AA38" s="25"/>
      <c r="AB38" s="25"/>
    </row>
    <row r="39" spans="3:28">
      <c r="C39" s="25"/>
      <c r="D39" s="19"/>
      <c r="E39" s="19"/>
      <c r="F39" s="19"/>
      <c r="O39" s="25"/>
      <c r="P39" s="25"/>
      <c r="Q39" s="25"/>
      <c r="R39" s="19"/>
      <c r="S39" s="19"/>
      <c r="T39" s="19"/>
      <c r="U39" s="19"/>
      <c r="V39" s="19"/>
      <c r="W39" s="19"/>
      <c r="X39" s="25"/>
      <c r="Y39" s="25"/>
      <c r="Z39" s="25"/>
      <c r="AA39" s="25"/>
      <c r="AB39" s="25"/>
    </row>
    <row r="40" spans="3:28">
      <c r="C40" s="19"/>
      <c r="D40" s="19"/>
      <c r="E40" s="19"/>
      <c r="F40" s="19"/>
    </row>
    <row r="41" spans="3:28">
      <c r="C41" s="19"/>
      <c r="D41" s="19"/>
      <c r="E41" s="44"/>
      <c r="F41" s="44"/>
      <c r="G41" s="40"/>
      <c r="H41" s="40"/>
      <c r="I41" s="40"/>
      <c r="J41" s="43"/>
      <c r="K41" s="43"/>
      <c r="L41" s="43"/>
      <c r="M41" s="44"/>
      <c r="N41" s="44"/>
      <c r="O41" s="44"/>
      <c r="P41" s="45"/>
      <c r="Q41" s="45"/>
      <c r="R41" s="45"/>
      <c r="S41" s="44"/>
      <c r="T41" s="44"/>
      <c r="U41" s="44"/>
      <c r="V41" s="44"/>
      <c r="W41" s="44"/>
      <c r="X41" s="44"/>
      <c r="Y41" s="44"/>
      <c r="Z41" s="44"/>
      <c r="AA41" s="44"/>
      <c r="AB41" s="44"/>
    </row>
    <row r="42" spans="3:28">
      <c r="E42" s="45"/>
      <c r="F42" s="45"/>
      <c r="G42" s="45"/>
      <c r="H42" s="45"/>
      <c r="I42" s="45"/>
      <c r="J42" s="44"/>
      <c r="K42" s="44"/>
      <c r="L42" s="44"/>
      <c r="M42" s="44"/>
      <c r="N42" s="44"/>
      <c r="O42" s="44"/>
      <c r="P42" s="45"/>
      <c r="Q42" s="45"/>
      <c r="R42" s="45"/>
      <c r="S42" s="44"/>
      <c r="T42" s="44"/>
      <c r="U42" s="44"/>
      <c r="V42" s="44"/>
      <c r="W42" s="44"/>
      <c r="X42" s="44"/>
      <c r="Y42" s="44"/>
      <c r="Z42" s="44"/>
      <c r="AA42" s="44"/>
      <c r="AB42" s="44"/>
    </row>
    <row r="43" spans="3:28">
      <c r="C43" s="23"/>
      <c r="D43" s="24"/>
      <c r="E43" s="44"/>
      <c r="F43" s="44"/>
      <c r="G43" s="44"/>
      <c r="H43" s="44"/>
      <c r="I43" s="44"/>
      <c r="J43" s="44"/>
      <c r="K43" s="44"/>
      <c r="L43" s="44"/>
      <c r="M43" s="44"/>
      <c r="N43" s="44"/>
      <c r="O43" s="44"/>
      <c r="P43" s="44"/>
      <c r="Q43" s="44"/>
      <c r="R43" s="44"/>
      <c r="S43" s="44"/>
      <c r="T43" s="44"/>
      <c r="U43" s="44"/>
      <c r="V43" s="44"/>
      <c r="W43" s="44"/>
      <c r="X43" s="44"/>
      <c r="Y43" s="44"/>
      <c r="Z43" s="44"/>
      <c r="AA43" s="44"/>
      <c r="AB43" s="44"/>
    </row>
    <row r="44" spans="3:28">
      <c r="E44" s="44"/>
      <c r="F44" s="44"/>
      <c r="G44" s="44"/>
      <c r="H44" s="44"/>
      <c r="I44" s="44"/>
      <c r="J44" s="44"/>
      <c r="K44" s="44"/>
      <c r="L44" s="44"/>
      <c r="M44" s="44"/>
      <c r="N44" s="44"/>
      <c r="O44" s="44"/>
      <c r="P44" s="44"/>
      <c r="Q44" s="44"/>
      <c r="R44" s="44"/>
      <c r="S44" s="44"/>
      <c r="T44" s="44"/>
      <c r="U44" s="44"/>
      <c r="V44" s="44"/>
      <c r="W44" s="44"/>
      <c r="X44" s="44"/>
      <c r="Y44" s="44"/>
      <c r="Z44" s="44"/>
      <c r="AA44" s="44"/>
      <c r="AB44" s="44"/>
    </row>
    <row r="45" spans="3:28">
      <c r="C45" s="23"/>
      <c r="D45" s="24"/>
      <c r="E45" s="24"/>
      <c r="F45" s="24"/>
    </row>
    <row r="48" spans="3:28">
      <c r="C48" s="25"/>
      <c r="D48" s="19"/>
      <c r="E48" s="19"/>
      <c r="F48" s="19"/>
      <c r="G48" s="25"/>
      <c r="H48" s="25"/>
      <c r="I48" s="25"/>
      <c r="J48" s="25"/>
      <c r="K48" s="25"/>
      <c r="L48" s="25"/>
      <c r="M48" s="19"/>
      <c r="N48" s="19"/>
      <c r="O48" s="19"/>
      <c r="P48" s="25"/>
      <c r="Q48" s="19"/>
      <c r="R48" s="19"/>
      <c r="S48" s="19"/>
    </row>
    <row r="49" spans="3:19">
      <c r="C49" s="25"/>
      <c r="D49" s="19"/>
      <c r="E49" s="19"/>
      <c r="F49" s="19"/>
      <c r="G49" s="25"/>
      <c r="H49" s="25"/>
      <c r="I49" s="25"/>
      <c r="J49" s="25"/>
      <c r="K49" s="25"/>
      <c r="L49" s="25"/>
      <c r="M49" s="19"/>
      <c r="N49" s="19"/>
      <c r="O49" s="19"/>
      <c r="P49" s="19"/>
      <c r="Q49" s="19"/>
      <c r="R49" s="19"/>
      <c r="S49" s="19"/>
    </row>
    <row r="50" spans="3:19">
      <c r="C50" s="25"/>
      <c r="D50" s="19"/>
      <c r="E50" s="19"/>
      <c r="F50" s="19"/>
      <c r="G50" s="25"/>
      <c r="H50" s="25"/>
      <c r="I50" s="25"/>
      <c r="J50" s="25"/>
      <c r="K50" s="25"/>
      <c r="L50" s="25"/>
      <c r="M50" s="19"/>
      <c r="N50" s="19"/>
      <c r="O50" s="19"/>
      <c r="P50" s="19"/>
      <c r="Q50" s="19"/>
      <c r="R50" s="19"/>
      <c r="S50" s="19"/>
    </row>
  </sheetData>
  <sheetProtection algorithmName="SHA-512" hashValue="xsUxXqo1FVu4cpJi0CytM+xU5eKYDme7aBLQ9iB4iHJpd35E7/MW7pUeZYbWUJ4LDLiWN85oFU4Y/5uutNAOIg==" saltValue="GAIFM1CrtCr8wqd+/hAA2A==" spinCount="100000" sheet="1" objects="1" scenarios="1"/>
  <mergeCells count="40">
    <mergeCell ref="N16:P17"/>
    <mergeCell ref="C31:D31"/>
    <mergeCell ref="C21:P28"/>
    <mergeCell ref="Q21:X21"/>
    <mergeCell ref="Q28:R28"/>
    <mergeCell ref="T28:V28"/>
    <mergeCell ref="Q29:R29"/>
    <mergeCell ref="S29:T29"/>
    <mergeCell ref="W11:Y12"/>
    <mergeCell ref="N12:P13"/>
    <mergeCell ref="C13:F13"/>
    <mergeCell ref="Q13:S14"/>
    <mergeCell ref="T13:V14"/>
    <mergeCell ref="W13:Y14"/>
    <mergeCell ref="K14:M14"/>
    <mergeCell ref="N14:P15"/>
    <mergeCell ref="C14:F14"/>
    <mergeCell ref="C15:F15"/>
    <mergeCell ref="W15:Y17"/>
    <mergeCell ref="C16:F17"/>
    <mergeCell ref="G15:J17"/>
    <mergeCell ref="K15:M17"/>
    <mergeCell ref="Q15:S16"/>
    <mergeCell ref="T15:V16"/>
    <mergeCell ref="Z11:AB12"/>
    <mergeCell ref="M2:T2"/>
    <mergeCell ref="C11:F11"/>
    <mergeCell ref="C12:F12"/>
    <mergeCell ref="O4:S4"/>
    <mergeCell ref="C6:E6"/>
    <mergeCell ref="G6:Z6"/>
    <mergeCell ref="I7:P7"/>
    <mergeCell ref="Q7:S7"/>
    <mergeCell ref="T7:V7"/>
    <mergeCell ref="C10:AB10"/>
    <mergeCell ref="G11:J14"/>
    <mergeCell ref="K11:M13"/>
    <mergeCell ref="N11:P11"/>
    <mergeCell ref="Q11:S12"/>
    <mergeCell ref="T11:V12"/>
  </mergeCells>
  <conditionalFormatting sqref="L9:N9">
    <cfRule type="containsText" dxfId="49" priority="9" operator="containsText" text="80">
      <formula>NOT(ISERROR(SEARCH("80",L9)))</formula>
    </cfRule>
  </conditionalFormatting>
  <conditionalFormatting sqref="T9">
    <cfRule type="containsText" dxfId="48" priority="8" operator="containsText" text="460">
      <formula>NOT(ISERROR(SEARCH("460",T9)))</formula>
    </cfRule>
  </conditionalFormatting>
  <conditionalFormatting sqref="U9">
    <cfRule type="containsText" dxfId="47" priority="2" operator="containsText" text="23">
      <formula>NOT(ISERROR(SEARCH("23",U9)))</formula>
    </cfRule>
    <cfRule type="containsText" dxfId="46" priority="6" operator="containsText" text="19">
      <formula>NOT(ISERROR(SEARCH("19",U9)))</formula>
    </cfRule>
    <cfRule type="containsText" dxfId="45" priority="7" operator="containsText" text="10">
      <formula>NOT(ISERROR(SEARCH("10",U9)))</formula>
    </cfRule>
  </conditionalFormatting>
  <conditionalFormatting sqref="V9">
    <cfRule type="containsText" dxfId="44" priority="1" operator="containsText" text="11">
      <formula>NOT(ISERROR(SEARCH("11",V9)))</formula>
    </cfRule>
    <cfRule type="containsText" dxfId="43" priority="5" operator="containsText" text="3">
      <formula>NOT(ISERROR(SEARCH("3",V9)))</formula>
    </cfRule>
  </conditionalFormatting>
  <conditionalFormatting sqref="V41">
    <cfRule type="expression" dxfId="42" priority="3">
      <formula>AND($R$9&lt;3000)=TRUE</formula>
    </cfRule>
  </conditionalFormatting>
  <conditionalFormatting sqref="Z11 V43">
    <cfRule type="expression" dxfId="41" priority="4">
      <formula>AND($R$9&lt;3000)=TRUE</formula>
    </cfRule>
  </conditionalFormatting>
  <dataValidations count="1">
    <dataValidation type="list" allowBlank="1" showInputMessage="1" showErrorMessage="1" sqref="O4:S4" xr:uid="{9B27055B-E3C6-45DC-ADAF-465C126E1692}">
      <formula1>BMKPlatEdgeii</formula1>
    </dataValidation>
  </dataValidation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tint="0.59999389629810485"/>
  </sheetPr>
  <dimension ref="B1:AC48"/>
  <sheetViews>
    <sheetView topLeftCell="F9" workbookViewId="0">
      <selection activeCell="S27" sqref="S27:T27"/>
    </sheetView>
  </sheetViews>
  <sheetFormatPr defaultColWidth="10.875" defaultRowHeight="15.75"/>
  <cols>
    <col min="1" max="2" width="2.625" customWidth="1"/>
    <col min="3" max="28" width="11.25" customWidth="1"/>
    <col min="29" max="29" width="2.625" customWidth="1"/>
  </cols>
  <sheetData>
    <row r="1" spans="2:29" ht="16.5" thickBot="1"/>
    <row r="2" spans="2:29" ht="24.95" customHeight="1" thickBot="1">
      <c r="B2" s="60"/>
      <c r="C2" s="61"/>
      <c r="D2" s="62"/>
      <c r="E2" s="63"/>
      <c r="F2" s="64"/>
      <c r="G2" s="64"/>
      <c r="H2" s="64"/>
      <c r="I2" s="64"/>
      <c r="J2" s="64"/>
      <c r="K2" s="64"/>
      <c r="L2" s="64"/>
      <c r="M2" s="179" t="s">
        <v>78</v>
      </c>
      <c r="N2" s="179"/>
      <c r="O2" s="179"/>
      <c r="P2" s="179"/>
      <c r="Q2" s="179"/>
      <c r="R2" s="179"/>
      <c r="S2" s="179"/>
      <c r="T2" s="179"/>
      <c r="U2" s="179"/>
      <c r="V2" s="65"/>
      <c r="W2" s="65"/>
      <c r="X2" s="65"/>
      <c r="Y2" s="65"/>
      <c r="Z2" s="65"/>
      <c r="AA2" s="65"/>
      <c r="AB2" s="73" t="s">
        <v>1</v>
      </c>
      <c r="AC2" s="66"/>
    </row>
    <row r="3" spans="2:29" ht="15.95" customHeight="1">
      <c r="B3" s="67"/>
      <c r="AC3" s="68"/>
    </row>
    <row r="4" spans="2:29" ht="18.75">
      <c r="B4" s="67"/>
      <c r="N4" s="136" t="s">
        <v>2</v>
      </c>
      <c r="O4" s="180" t="s">
        <v>79</v>
      </c>
      <c r="P4" s="181"/>
      <c r="Q4" s="181"/>
      <c r="R4" s="181"/>
      <c r="S4" s="181"/>
      <c r="T4" s="27"/>
      <c r="U4" s="27"/>
      <c r="AC4" s="68"/>
    </row>
    <row r="5" spans="2:29" ht="16.5" thickBot="1">
      <c r="B5" s="67"/>
      <c r="AC5" s="68"/>
    </row>
    <row r="6" spans="2:29" ht="18" customHeight="1" thickBot="1">
      <c r="B6" s="67"/>
      <c r="C6" s="182"/>
      <c r="D6" s="183"/>
      <c r="E6" s="183"/>
      <c r="F6" s="49"/>
      <c r="G6" s="184" t="s">
        <v>4</v>
      </c>
      <c r="H6" s="184"/>
      <c r="I6" s="184"/>
      <c r="J6" s="184"/>
      <c r="K6" s="184"/>
      <c r="L6" s="184"/>
      <c r="M6" s="184"/>
      <c r="N6" s="184"/>
      <c r="O6" s="184"/>
      <c r="P6" s="184"/>
      <c r="Q6" s="184"/>
      <c r="R6" s="184"/>
      <c r="S6" s="184"/>
      <c r="T6" s="184"/>
      <c r="U6" s="184"/>
      <c r="V6" s="184"/>
      <c r="W6" s="184"/>
      <c r="X6" s="184"/>
      <c r="Y6" s="184"/>
      <c r="Z6" s="184"/>
      <c r="AA6" s="50"/>
      <c r="AB6" s="59"/>
      <c r="AC6" s="68"/>
    </row>
    <row r="7" spans="2:29" ht="16.5" thickBot="1">
      <c r="B7" s="67"/>
      <c r="C7" s="7"/>
      <c r="D7" s="7"/>
      <c r="E7" s="7"/>
      <c r="F7" s="7"/>
      <c r="G7" s="7"/>
      <c r="H7" s="9"/>
      <c r="I7" s="182" t="s">
        <v>5</v>
      </c>
      <c r="J7" s="185"/>
      <c r="K7" s="185"/>
      <c r="L7" s="185"/>
      <c r="M7" s="185"/>
      <c r="N7" s="185"/>
      <c r="O7" s="185"/>
      <c r="P7" s="186"/>
      <c r="Q7" s="182" t="s">
        <v>6</v>
      </c>
      <c r="R7" s="185"/>
      <c r="S7" s="186"/>
      <c r="T7" s="182" t="s">
        <v>7</v>
      </c>
      <c r="U7" s="185"/>
      <c r="V7" s="186"/>
      <c r="W7" s="8"/>
      <c r="X7" s="8"/>
      <c r="Y7" s="58"/>
      <c r="Z7" s="58"/>
      <c r="AA7" s="56"/>
      <c r="AB7" s="9"/>
      <c r="AC7" s="68"/>
    </row>
    <row r="8" spans="2:29" ht="42.95" customHeight="1" thickBot="1">
      <c r="B8" s="67"/>
      <c r="C8" s="42" t="s">
        <v>8</v>
      </c>
      <c r="D8" s="42" t="s">
        <v>9</v>
      </c>
      <c r="E8" s="42" t="s">
        <v>10</v>
      </c>
      <c r="F8" s="42" t="s">
        <v>11</v>
      </c>
      <c r="G8" s="42" t="s">
        <v>12</v>
      </c>
      <c r="H8" s="42" t="s">
        <v>13</v>
      </c>
      <c r="I8" s="42" t="s">
        <v>14</v>
      </c>
      <c r="J8" s="42" t="s">
        <v>15</v>
      </c>
      <c r="K8" s="42" t="s">
        <v>16</v>
      </c>
      <c r="L8" s="42" t="s">
        <v>17</v>
      </c>
      <c r="M8" s="42" t="s">
        <v>18</v>
      </c>
      <c r="N8" s="42" t="s">
        <v>19</v>
      </c>
      <c r="O8" s="42" t="s">
        <v>20</v>
      </c>
      <c r="P8" s="42" t="s">
        <v>21</v>
      </c>
      <c r="Q8" s="46" t="s">
        <v>22</v>
      </c>
      <c r="R8" s="46" t="s">
        <v>23</v>
      </c>
      <c r="S8" s="46" t="s">
        <v>24</v>
      </c>
      <c r="T8" s="46" t="s">
        <v>25</v>
      </c>
      <c r="U8" s="46" t="s">
        <v>26</v>
      </c>
      <c r="V8" s="46" t="s">
        <v>27</v>
      </c>
      <c r="W8" s="42" t="s">
        <v>28</v>
      </c>
      <c r="X8" s="42" t="s">
        <v>29</v>
      </c>
      <c r="Y8" s="42" t="s">
        <v>30</v>
      </c>
      <c r="Z8" s="42" t="s">
        <v>31</v>
      </c>
      <c r="AA8" s="57" t="s">
        <v>32</v>
      </c>
      <c r="AB8" s="55" t="s">
        <v>33</v>
      </c>
      <c r="AC8" s="68"/>
    </row>
    <row r="9" spans="2:29" ht="41.25" customHeight="1" thickBot="1">
      <c r="B9" s="67"/>
      <c r="C9" s="48" t="s">
        <v>34</v>
      </c>
      <c r="D9" s="48" t="s">
        <v>35</v>
      </c>
      <c r="E9" s="48" t="s">
        <v>36</v>
      </c>
      <c r="F9" s="101" t="s">
        <v>37</v>
      </c>
      <c r="G9" s="46" t="str">
        <f>VLOOKUP($O4,BMKSTDwEdge,6,FALSE)</f>
        <v>5220 / 5670</v>
      </c>
      <c r="H9" s="46">
        <f>VLOOKUP($O4,BMKSTDwEdge,7,FALSE)</f>
        <v>94.5</v>
      </c>
      <c r="I9" s="98">
        <f>S26</f>
        <v>100</v>
      </c>
      <c r="J9" s="99">
        <f>VLOOKUP($O4,BMKSTDwEdge,9,FALSE)</f>
        <v>110</v>
      </c>
      <c r="K9" s="100" t="str">
        <f>$S$27</f>
        <v>150 PSI</v>
      </c>
      <c r="L9" s="46" t="str">
        <f>VLOOKUP($O4,BMKSTDwEdge,11,FALSE)</f>
        <v>80 
150</v>
      </c>
      <c r="M9" s="47" t="s">
        <v>38</v>
      </c>
      <c r="N9" s="47" t="s">
        <v>38</v>
      </c>
      <c r="O9" s="46" t="str">
        <f>VLOOKUP($O4,BMKSTDwEdge,14,FALSE)</f>
        <v>75 / 600</v>
      </c>
      <c r="P9" s="46" t="str">
        <f>VLOOKUP($O4,BMKSTDwEdge,15,FALSE)</f>
        <v>4.0 PSIG @ 500 GPM</v>
      </c>
      <c r="Q9" s="46" t="str">
        <f>VLOOKUP($O4,BMKSTDwEdge,16,FALSE)</f>
        <v>NATURAL GAS</v>
      </c>
      <c r="R9" s="46">
        <f>VLOOKUP($O4,BMKSTDwEdge,17,FALSE)</f>
        <v>6000</v>
      </c>
      <c r="S9" s="101" t="str">
        <f>VLOOKUP($O4,BMKSTDwEdge,18,FALSE)</f>
        <v>4 - 10
14 - 56</v>
      </c>
      <c r="T9" s="46" t="str">
        <f>VLOOKUP($O4,BMKSTDwEdge,19,FALSE)</f>
        <v>208/3/60
460/3/60
575/3/60</v>
      </c>
      <c r="U9" s="46" t="str">
        <f>VLOOKUP($O4,BMKSTDwEdge,20,FALSE)</f>
        <v>19
9
7</v>
      </c>
      <c r="V9" s="46">
        <f>VLOOKUP($O4,BMKSTDwEdge,21,FALSE)</f>
        <v>5</v>
      </c>
      <c r="W9" s="46" t="str">
        <f>VLOOKUP($O4,BMKSTDwEdge,22,FALSE)</f>
        <v>108 x 35 x 79</v>
      </c>
      <c r="X9" s="46">
        <f>VLOOKUP($O4,BMKSTDwEdge,23,FALSE)</f>
        <v>3920</v>
      </c>
      <c r="Y9" s="46" t="s">
        <v>39</v>
      </c>
      <c r="Z9" s="46" t="s">
        <v>40</v>
      </c>
      <c r="AA9" s="46" t="s">
        <v>41</v>
      </c>
      <c r="AB9" s="46" t="str">
        <f>VLOOKUP($O4,BMKSTDwEdge,27,FALSE)</f>
        <v>BMK STANDARD 6000 WITH EDGE[i]</v>
      </c>
      <c r="AC9" s="68"/>
    </row>
    <row r="10" spans="2:29" ht="16.5" customHeight="1">
      <c r="B10" s="67"/>
      <c r="C10" s="173" t="s">
        <v>42</v>
      </c>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5"/>
      <c r="AC10" s="68"/>
    </row>
    <row r="11" spans="2:29" ht="16.5" customHeight="1">
      <c r="B11" s="67"/>
      <c r="C11" s="169" t="s">
        <v>43</v>
      </c>
      <c r="D11" s="167"/>
      <c r="E11" s="167"/>
      <c r="F11" s="176" t="s">
        <v>80</v>
      </c>
      <c r="G11" s="176"/>
      <c r="H11" s="176"/>
      <c r="I11" s="167" t="s">
        <v>81</v>
      </c>
      <c r="J11" s="167"/>
      <c r="K11" s="167"/>
      <c r="L11" s="167" t="s">
        <v>82</v>
      </c>
      <c r="M11" s="167"/>
      <c r="N11" s="167"/>
      <c r="O11" s="171" t="s">
        <v>83</v>
      </c>
      <c r="P11" s="171"/>
      <c r="Q11" s="171"/>
      <c r="R11" s="167" t="s">
        <v>84</v>
      </c>
      <c r="S11" s="167"/>
      <c r="T11" s="167"/>
      <c r="U11" s="167"/>
      <c r="V11" s="129"/>
      <c r="W11" s="129"/>
      <c r="X11" s="139"/>
      <c r="Y11" s="139"/>
      <c r="Z11" s="129"/>
      <c r="AA11" s="129"/>
      <c r="AB11" s="52"/>
      <c r="AC11" s="68"/>
    </row>
    <row r="12" spans="2:29" ht="16.5" customHeight="1">
      <c r="B12" s="67"/>
      <c r="C12" s="169" t="str">
        <f>VLOOKUP($O4,BMKSTDwEdge,28,FALSE)</f>
        <v>2. MINIMUM TURNDOWN: 15:1</v>
      </c>
      <c r="D12" s="167"/>
      <c r="E12" s="167"/>
      <c r="F12" s="176"/>
      <c r="G12" s="176"/>
      <c r="H12" s="176"/>
      <c r="I12" s="167" t="s">
        <v>85</v>
      </c>
      <c r="J12" s="167"/>
      <c r="K12" s="167"/>
      <c r="L12" s="167"/>
      <c r="M12" s="167"/>
      <c r="N12" s="167"/>
      <c r="O12" s="171"/>
      <c r="P12" s="171"/>
      <c r="Q12" s="171"/>
      <c r="R12" s="167"/>
      <c r="S12" s="167"/>
      <c r="T12" s="167"/>
      <c r="U12" s="167"/>
      <c r="V12" s="129"/>
      <c r="W12" s="129"/>
      <c r="X12" s="139"/>
      <c r="Y12" s="139"/>
      <c r="Z12" s="129"/>
      <c r="AA12" s="129"/>
      <c r="AB12" s="52"/>
      <c r="AC12" s="68"/>
    </row>
    <row r="13" spans="2:29" ht="16.5" customHeight="1">
      <c r="B13" s="67"/>
      <c r="C13" s="169" t="s">
        <v>86</v>
      </c>
      <c r="D13" s="167"/>
      <c r="E13" s="167"/>
      <c r="G13" s="129"/>
      <c r="H13" s="129"/>
      <c r="I13" s="167"/>
      <c r="J13" s="167"/>
      <c r="K13" s="167"/>
      <c r="L13" s="167" t="s">
        <v>87</v>
      </c>
      <c r="M13" s="167"/>
      <c r="N13" s="167"/>
      <c r="O13" s="171" t="s">
        <v>88</v>
      </c>
      <c r="P13" s="171"/>
      <c r="Q13" s="171"/>
      <c r="R13" s="167"/>
      <c r="S13" s="167"/>
      <c r="T13" s="167"/>
      <c r="U13" s="167"/>
      <c r="V13" s="129"/>
      <c r="W13" s="129"/>
      <c r="X13" s="139"/>
      <c r="Y13" s="139"/>
      <c r="Z13" s="129"/>
      <c r="AA13" s="129"/>
      <c r="AB13" s="52"/>
      <c r="AC13" s="68"/>
    </row>
    <row r="14" spans="2:29" ht="20.100000000000001" customHeight="1">
      <c r="B14" s="67"/>
      <c r="C14" s="169" t="s">
        <v>89</v>
      </c>
      <c r="D14" s="167"/>
      <c r="E14" s="167"/>
      <c r="F14" s="167" t="s">
        <v>90</v>
      </c>
      <c r="G14" s="167"/>
      <c r="H14" s="167"/>
      <c r="I14" s="167"/>
      <c r="J14" s="167"/>
      <c r="K14" s="167"/>
      <c r="L14" s="167"/>
      <c r="M14" s="167"/>
      <c r="N14" s="167"/>
      <c r="O14" s="171"/>
      <c r="P14" s="171"/>
      <c r="Q14" s="171"/>
      <c r="R14" s="167"/>
      <c r="S14" s="167"/>
      <c r="T14" s="167"/>
      <c r="U14" s="167"/>
      <c r="V14" s="129"/>
      <c r="W14" s="129"/>
      <c r="X14" s="139"/>
      <c r="Y14" s="139"/>
      <c r="Z14" s="129"/>
      <c r="AA14" s="129"/>
      <c r="AB14" s="52"/>
      <c r="AC14" s="68"/>
    </row>
    <row r="15" spans="2:29" ht="16.5" customHeight="1" thickBot="1">
      <c r="B15" s="67"/>
      <c r="C15" s="172"/>
      <c r="D15" s="168"/>
      <c r="E15" s="168"/>
      <c r="F15" s="168"/>
      <c r="G15" s="168"/>
      <c r="H15" s="168"/>
      <c r="I15" s="168" t="s">
        <v>91</v>
      </c>
      <c r="J15" s="168"/>
      <c r="K15" s="168"/>
      <c r="L15" s="140"/>
      <c r="M15" s="140"/>
      <c r="N15" s="140"/>
      <c r="O15" s="140"/>
      <c r="P15" s="140"/>
      <c r="Q15" s="140"/>
      <c r="R15" s="168"/>
      <c r="S15" s="168"/>
      <c r="T15" s="168"/>
      <c r="U15" s="168"/>
      <c r="V15" s="130"/>
      <c r="W15" s="130"/>
      <c r="X15" s="130"/>
      <c r="Y15" s="140"/>
      <c r="Z15" s="130"/>
      <c r="AA15" s="130"/>
      <c r="AB15" s="53"/>
      <c r="AC15" s="68"/>
    </row>
    <row r="16" spans="2:29" ht="16.5" customHeight="1">
      <c r="B16" s="67"/>
      <c r="AC16" s="68"/>
    </row>
    <row r="17" spans="2:29" ht="16.5" customHeight="1">
      <c r="B17" s="67"/>
      <c r="AC17" s="68"/>
    </row>
    <row r="18" spans="2:29">
      <c r="B18" s="67"/>
      <c r="AC18" s="68"/>
    </row>
    <row r="19" spans="2:29">
      <c r="B19" s="67"/>
      <c r="C19" s="163" t="s">
        <v>92</v>
      </c>
      <c r="D19" s="164"/>
      <c r="E19" s="164"/>
      <c r="F19" s="164"/>
      <c r="G19" s="164"/>
      <c r="H19" s="164"/>
      <c r="I19" s="164"/>
      <c r="J19" s="164"/>
      <c r="K19" s="164"/>
      <c r="L19" s="164"/>
      <c r="M19" s="164"/>
      <c r="N19" s="164"/>
      <c r="O19" s="164"/>
      <c r="P19" s="165"/>
      <c r="Q19" s="163" t="s">
        <v>68</v>
      </c>
      <c r="R19" s="166"/>
      <c r="S19" s="166"/>
      <c r="T19" s="166"/>
      <c r="U19" s="166"/>
      <c r="V19" s="166"/>
      <c r="W19" s="166"/>
      <c r="X19" s="166"/>
      <c r="Y19" s="16"/>
      <c r="Z19" s="16"/>
      <c r="AA19" s="16"/>
      <c r="AB19" s="16"/>
      <c r="AC19" s="68"/>
    </row>
    <row r="20" spans="2:29">
      <c r="B20" s="67"/>
      <c r="C20" s="164"/>
      <c r="D20" s="164"/>
      <c r="E20" s="164"/>
      <c r="F20" s="164"/>
      <c r="G20" s="164"/>
      <c r="H20" s="164"/>
      <c r="I20" s="164"/>
      <c r="J20" s="164"/>
      <c r="K20" s="164"/>
      <c r="L20" s="164"/>
      <c r="M20" s="164"/>
      <c r="N20" s="164"/>
      <c r="O20" s="164"/>
      <c r="P20" s="165"/>
      <c r="Q20" s="26"/>
      <c r="Y20" s="16"/>
      <c r="Z20" s="16"/>
      <c r="AA20" s="16"/>
      <c r="AB20" s="16"/>
      <c r="AC20" s="68"/>
    </row>
    <row r="21" spans="2:29">
      <c r="B21" s="67"/>
      <c r="C21" s="164"/>
      <c r="D21" s="164"/>
      <c r="E21" s="164"/>
      <c r="F21" s="164"/>
      <c r="G21" s="164"/>
      <c r="H21" s="164"/>
      <c r="I21" s="164"/>
      <c r="J21" s="164"/>
      <c r="K21" s="164"/>
      <c r="L21" s="164"/>
      <c r="M21" s="164"/>
      <c r="N21" s="164"/>
      <c r="O21" s="164"/>
      <c r="P21" s="165"/>
      <c r="Q21" s="26" t="s">
        <v>69</v>
      </c>
      <c r="Y21" s="16"/>
      <c r="Z21" s="16"/>
      <c r="AA21" s="16"/>
      <c r="AB21" s="16"/>
      <c r="AC21" s="68"/>
    </row>
    <row r="22" spans="2:29">
      <c r="B22" s="67"/>
      <c r="C22" s="164"/>
      <c r="D22" s="164"/>
      <c r="E22" s="164"/>
      <c r="F22" s="164"/>
      <c r="G22" s="164"/>
      <c r="H22" s="164"/>
      <c r="I22" s="164"/>
      <c r="J22" s="164"/>
      <c r="K22" s="164"/>
      <c r="L22" s="164"/>
      <c r="M22" s="164"/>
      <c r="N22" s="164"/>
      <c r="O22" s="164"/>
      <c r="P22" s="165"/>
      <c r="Q22" s="26" t="s">
        <v>70</v>
      </c>
      <c r="Y22" s="16"/>
      <c r="Z22" s="16"/>
      <c r="AA22" s="16"/>
      <c r="AB22" s="16"/>
      <c r="AC22" s="68"/>
    </row>
    <row r="23" spans="2:29">
      <c r="B23" s="67"/>
      <c r="C23" s="164"/>
      <c r="D23" s="164"/>
      <c r="E23" s="164"/>
      <c r="F23" s="164"/>
      <c r="G23" s="164"/>
      <c r="H23" s="164"/>
      <c r="I23" s="164"/>
      <c r="J23" s="164"/>
      <c r="K23" s="164"/>
      <c r="L23" s="164"/>
      <c r="M23" s="164"/>
      <c r="N23" s="164"/>
      <c r="O23" s="164"/>
      <c r="P23" s="165"/>
      <c r="Q23" s="26" t="s">
        <v>71</v>
      </c>
      <c r="Y23" s="16"/>
      <c r="Z23" s="16"/>
      <c r="AA23" s="16"/>
      <c r="AB23" s="16"/>
      <c r="AC23" s="68"/>
    </row>
    <row r="24" spans="2:29">
      <c r="B24" s="67"/>
      <c r="C24" s="164"/>
      <c r="D24" s="164"/>
      <c r="E24" s="164"/>
      <c r="F24" s="164"/>
      <c r="G24" s="164"/>
      <c r="H24" s="164"/>
      <c r="I24" s="164"/>
      <c r="J24" s="164"/>
      <c r="K24" s="164"/>
      <c r="L24" s="164"/>
      <c r="M24" s="164"/>
      <c r="N24" s="164"/>
      <c r="O24" s="164"/>
      <c r="P24" s="165"/>
      <c r="Q24" s="26"/>
      <c r="Y24" s="16"/>
      <c r="Z24" s="16"/>
      <c r="AA24" s="16"/>
      <c r="AB24" s="16"/>
      <c r="AC24" s="68"/>
    </row>
    <row r="25" spans="2:29">
      <c r="B25" s="67"/>
      <c r="C25" s="164"/>
      <c r="D25" s="164"/>
      <c r="E25" s="164"/>
      <c r="F25" s="164"/>
      <c r="G25" s="164"/>
      <c r="H25" s="164"/>
      <c r="I25" s="164"/>
      <c r="J25" s="164"/>
      <c r="K25" s="164"/>
      <c r="L25" s="164"/>
      <c r="M25" s="164"/>
      <c r="N25" s="164"/>
      <c r="O25" s="164"/>
      <c r="P25" s="165"/>
      <c r="Q25" s="21"/>
      <c r="R25" s="22"/>
      <c r="S25" s="22"/>
      <c r="T25" s="22"/>
      <c r="U25" s="22"/>
      <c r="V25" s="22"/>
      <c r="W25" s="22"/>
      <c r="X25" s="22"/>
      <c r="Y25" s="17"/>
      <c r="Z25" s="17"/>
      <c r="AA25" s="17"/>
      <c r="AB25" s="17"/>
      <c r="AC25" s="68"/>
    </row>
    <row r="26" spans="2:29">
      <c r="B26" s="67"/>
      <c r="C26" s="164"/>
      <c r="D26" s="164"/>
      <c r="E26" s="164"/>
      <c r="F26" s="164"/>
      <c r="G26" s="164"/>
      <c r="H26" s="164"/>
      <c r="I26" s="164"/>
      <c r="J26" s="164"/>
      <c r="K26" s="164"/>
      <c r="L26" s="164"/>
      <c r="M26" s="164"/>
      <c r="N26" s="164"/>
      <c r="O26" s="164"/>
      <c r="P26" s="165"/>
      <c r="Q26" s="159" t="s">
        <v>72</v>
      </c>
      <c r="R26" s="160"/>
      <c r="S26" s="135">
        <v>100</v>
      </c>
      <c r="T26" s="160" t="s">
        <v>73</v>
      </c>
      <c r="U26" s="160"/>
      <c r="V26" s="160"/>
      <c r="Y26" s="16"/>
      <c r="Z26" s="16"/>
      <c r="AA26" s="16"/>
      <c r="AB26" s="16"/>
      <c r="AC26" s="68"/>
    </row>
    <row r="27" spans="2:29">
      <c r="B27" s="67"/>
      <c r="C27" s="51"/>
      <c r="D27" s="51"/>
      <c r="E27" s="26"/>
      <c r="F27" s="26"/>
      <c r="G27" s="26"/>
      <c r="H27" s="26"/>
      <c r="I27" s="26"/>
      <c r="J27" s="26"/>
      <c r="K27" s="26"/>
      <c r="L27" s="26"/>
      <c r="M27" s="26"/>
      <c r="N27" s="26"/>
      <c r="O27" s="26"/>
      <c r="Q27" s="159" t="s">
        <v>74</v>
      </c>
      <c r="R27" s="160"/>
      <c r="S27" s="161" t="str">
        <f>INDEX(RVpressure,MATCH(1,RV_BMKCMORE,0))&amp;" PSI"</f>
        <v>150 PSI</v>
      </c>
      <c r="T27" s="160"/>
      <c r="U27" s="109">
        <f>IF(S26*120%&lt;=S26+15,S26+15,S26*120%)</f>
        <v>120</v>
      </c>
      <c r="V27" s="97"/>
      <c r="Y27" s="16"/>
      <c r="Z27" s="16"/>
      <c r="AA27" s="16"/>
      <c r="AB27" s="16"/>
      <c r="AC27" s="68"/>
    </row>
    <row r="28" spans="2:29">
      <c r="B28" s="67"/>
      <c r="C28" s="51"/>
      <c r="D28" s="51"/>
      <c r="E28" s="26"/>
      <c r="F28" s="26"/>
      <c r="G28" s="26"/>
      <c r="H28" s="26"/>
      <c r="I28" s="26"/>
      <c r="J28" s="26"/>
      <c r="K28" s="26"/>
      <c r="L28" s="26"/>
      <c r="M28" s="26"/>
      <c r="N28" s="26"/>
      <c r="O28" s="26"/>
      <c r="R28" s="26"/>
      <c r="S28" s="26"/>
      <c r="T28" s="26"/>
      <c r="U28" s="26"/>
      <c r="V28" s="26"/>
      <c r="W28" s="26"/>
      <c r="X28" s="26"/>
      <c r="Y28" s="28"/>
      <c r="Z28" s="28"/>
      <c r="AA28" s="28"/>
      <c r="AB28" s="28"/>
      <c r="AC28" s="68"/>
    </row>
    <row r="29" spans="2:29">
      <c r="B29" s="67"/>
      <c r="C29" s="162"/>
      <c r="D29" s="162"/>
      <c r="E29" s="26"/>
      <c r="F29" s="26"/>
      <c r="G29" s="26"/>
      <c r="H29" s="26"/>
      <c r="I29" s="26"/>
      <c r="J29" s="26"/>
      <c r="K29" s="26"/>
      <c r="L29" s="26"/>
      <c r="M29" s="26"/>
      <c r="N29" s="26"/>
      <c r="O29" s="26"/>
      <c r="Q29" s="26"/>
      <c r="R29" s="26"/>
      <c r="S29" s="26"/>
      <c r="T29" s="26"/>
      <c r="U29" s="26"/>
      <c r="V29" s="26"/>
      <c r="W29" s="26"/>
      <c r="X29" s="26"/>
      <c r="Y29" s="28"/>
      <c r="Z29" s="28"/>
      <c r="AA29" s="28"/>
      <c r="AB29" s="28"/>
      <c r="AC29" s="68"/>
    </row>
    <row r="30" spans="2:29" ht="16.5" thickBot="1">
      <c r="B30" s="69"/>
      <c r="C30" s="70"/>
      <c r="D30" s="70"/>
      <c r="E30" s="71"/>
      <c r="F30" s="71"/>
      <c r="G30" s="71"/>
      <c r="H30" s="71"/>
      <c r="I30" s="71"/>
      <c r="J30" s="71"/>
      <c r="K30" s="71"/>
      <c r="L30" s="71"/>
      <c r="M30" s="71"/>
      <c r="N30" s="71"/>
      <c r="O30" s="71"/>
      <c r="P30" s="70"/>
      <c r="Q30" s="70"/>
      <c r="R30" s="70"/>
      <c r="S30" s="70"/>
      <c r="T30" s="70"/>
      <c r="U30" s="70"/>
      <c r="V30" s="70"/>
      <c r="W30" s="70"/>
      <c r="X30" s="70"/>
      <c r="Y30" s="72"/>
      <c r="Z30" s="72"/>
      <c r="AA30" s="72"/>
      <c r="AB30" s="72"/>
      <c r="AC30" s="74"/>
    </row>
    <row r="31" spans="2:29">
      <c r="C31" s="25"/>
      <c r="D31" s="25"/>
      <c r="E31" s="25"/>
      <c r="F31" s="25"/>
      <c r="G31" s="25"/>
      <c r="H31" s="25"/>
      <c r="I31" s="20"/>
      <c r="J31" s="20"/>
      <c r="K31" s="20"/>
      <c r="L31" s="20"/>
      <c r="M31" s="20"/>
      <c r="N31" s="20"/>
      <c r="O31" s="20"/>
      <c r="Y31" s="16"/>
      <c r="Z31" s="16"/>
      <c r="AA31" s="16"/>
      <c r="AB31" s="16"/>
    </row>
    <row r="32" spans="2:29" ht="15.95" customHeight="1">
      <c r="C32" s="25"/>
      <c r="D32" s="25"/>
      <c r="E32" s="25"/>
      <c r="F32" s="25"/>
      <c r="L32" s="23"/>
      <c r="M32" s="24"/>
      <c r="N32" s="24"/>
    </row>
    <row r="33" spans="3:28">
      <c r="C33" s="25"/>
      <c r="D33" s="25"/>
      <c r="G33" s="44"/>
      <c r="H33" s="44"/>
      <c r="I33" s="44"/>
      <c r="J33" s="44"/>
    </row>
    <row r="34" spans="3:28">
      <c r="C34" s="25"/>
      <c r="D34" s="25"/>
      <c r="E34" s="25"/>
      <c r="F34" s="25"/>
      <c r="G34" s="25"/>
      <c r="H34" s="25"/>
      <c r="L34" s="25"/>
      <c r="M34" s="25"/>
    </row>
    <row r="35" spans="3:28">
      <c r="C35" s="25"/>
      <c r="D35" s="25"/>
      <c r="E35" s="25"/>
      <c r="F35" s="25"/>
      <c r="G35" s="25"/>
      <c r="H35" s="25"/>
      <c r="L35" s="25"/>
      <c r="M35" s="25"/>
      <c r="Q35" s="25"/>
      <c r="U35" s="25"/>
      <c r="V35" s="19"/>
      <c r="W35" s="19"/>
      <c r="X35" s="25"/>
      <c r="Y35" s="25"/>
      <c r="Z35" s="25"/>
      <c r="AA35" s="25"/>
      <c r="AB35" s="25"/>
    </row>
    <row r="36" spans="3:28">
      <c r="C36" s="25"/>
      <c r="G36" s="19"/>
      <c r="H36" s="19"/>
      <c r="I36" s="19"/>
      <c r="J36" s="19"/>
      <c r="K36" s="25"/>
      <c r="L36" s="25"/>
      <c r="M36" s="25"/>
      <c r="N36" s="24"/>
      <c r="O36" s="25"/>
      <c r="P36" s="25"/>
      <c r="Q36" s="25"/>
      <c r="R36" s="25"/>
      <c r="S36" s="19"/>
      <c r="T36" s="19"/>
      <c r="U36" s="19"/>
      <c r="V36" s="19"/>
      <c r="W36" s="19"/>
      <c r="X36" s="25"/>
      <c r="Y36" s="25"/>
      <c r="Z36" s="25"/>
      <c r="AA36" s="25"/>
      <c r="AB36" s="25"/>
    </row>
    <row r="37" spans="3:28">
      <c r="C37" s="25"/>
      <c r="D37" s="19"/>
      <c r="E37" s="19"/>
      <c r="F37" s="19"/>
      <c r="O37" s="25"/>
      <c r="P37" s="25"/>
      <c r="Q37" s="25"/>
      <c r="R37" s="19"/>
      <c r="S37" s="19"/>
      <c r="T37" s="19"/>
      <c r="U37" s="19"/>
      <c r="V37" s="19"/>
      <c r="W37" s="19"/>
      <c r="X37" s="25"/>
      <c r="Y37" s="25"/>
      <c r="Z37" s="25"/>
      <c r="AA37" s="25"/>
      <c r="AB37" s="25"/>
    </row>
    <row r="38" spans="3:28">
      <c r="C38" s="19"/>
      <c r="D38" s="19"/>
      <c r="E38" s="19"/>
      <c r="F38" s="19"/>
    </row>
    <row r="39" spans="3:28">
      <c r="C39" s="19"/>
      <c r="D39" s="19"/>
      <c r="E39" s="44"/>
      <c r="F39" s="44"/>
      <c r="G39" s="40"/>
      <c r="H39" s="40"/>
      <c r="I39" s="40"/>
      <c r="J39" s="43"/>
      <c r="K39" s="43"/>
      <c r="L39" s="43"/>
      <c r="M39" s="44"/>
      <c r="N39" s="44"/>
      <c r="O39" s="44"/>
      <c r="P39" s="45"/>
      <c r="Q39" s="45"/>
      <c r="R39" s="45"/>
      <c r="S39" s="44"/>
      <c r="T39" s="44"/>
      <c r="U39" s="44"/>
      <c r="V39" s="44"/>
      <c r="W39" s="44"/>
      <c r="X39" s="44"/>
      <c r="Y39" s="44"/>
      <c r="Z39" s="44"/>
      <c r="AA39" s="44"/>
      <c r="AB39" s="44"/>
    </row>
    <row r="40" spans="3:28">
      <c r="E40" s="45"/>
      <c r="F40" s="45"/>
      <c r="G40" s="45"/>
      <c r="H40" s="45"/>
      <c r="I40" s="45"/>
      <c r="J40" s="44"/>
      <c r="K40" s="44"/>
      <c r="L40" s="44"/>
      <c r="M40" s="44"/>
      <c r="N40" s="44"/>
      <c r="O40" s="44"/>
      <c r="P40" s="45"/>
      <c r="Q40" s="45"/>
      <c r="R40" s="45"/>
      <c r="S40" s="44"/>
      <c r="T40" s="44"/>
      <c r="U40" s="44"/>
      <c r="V40" s="44"/>
      <c r="W40" s="44"/>
      <c r="X40" s="44"/>
      <c r="Y40" s="44"/>
      <c r="Z40" s="44"/>
      <c r="AA40" s="44"/>
      <c r="AB40" s="44"/>
    </row>
    <row r="41" spans="3:28">
      <c r="C41" s="23"/>
      <c r="D41" s="24"/>
      <c r="E41" s="44"/>
      <c r="F41" s="44"/>
      <c r="G41" s="44"/>
      <c r="H41" s="44"/>
      <c r="I41" s="44"/>
      <c r="J41" s="44"/>
      <c r="K41" s="44"/>
      <c r="L41" s="44"/>
      <c r="M41" s="44"/>
      <c r="N41" s="44"/>
      <c r="O41" s="44"/>
      <c r="P41" s="44"/>
      <c r="Q41" s="44"/>
      <c r="R41" s="44"/>
      <c r="S41" s="44"/>
      <c r="T41" s="44"/>
      <c r="U41" s="44"/>
      <c r="V41" s="44"/>
      <c r="W41" s="44"/>
      <c r="X41" s="44"/>
      <c r="Y41" s="44"/>
      <c r="Z41" s="44"/>
      <c r="AA41" s="44"/>
      <c r="AB41" s="44"/>
    </row>
    <row r="42" spans="3:28">
      <c r="E42" s="44"/>
      <c r="F42" s="44"/>
      <c r="G42" s="44"/>
      <c r="H42" s="44"/>
      <c r="I42" s="44"/>
      <c r="J42" s="44"/>
      <c r="K42" s="44"/>
      <c r="L42" s="44"/>
      <c r="M42" s="44"/>
      <c r="N42" s="44"/>
      <c r="O42" s="44"/>
      <c r="P42" s="44"/>
      <c r="Q42" s="44"/>
      <c r="R42" s="44"/>
      <c r="S42" s="44"/>
      <c r="T42" s="44"/>
      <c r="U42" s="44"/>
      <c r="V42" s="44"/>
      <c r="W42" s="44"/>
      <c r="X42" s="44"/>
      <c r="Y42" s="44"/>
      <c r="Z42" s="44"/>
      <c r="AA42" s="44"/>
      <c r="AB42" s="44"/>
    </row>
    <row r="43" spans="3:28">
      <c r="C43" s="23"/>
      <c r="D43" s="24"/>
      <c r="E43" s="24"/>
      <c r="F43" s="24"/>
    </row>
    <row r="46" spans="3:28">
      <c r="C46" s="25"/>
      <c r="D46" s="19"/>
      <c r="E46" s="19"/>
      <c r="F46" s="19"/>
      <c r="G46" s="25"/>
      <c r="H46" s="25"/>
      <c r="I46" s="25"/>
      <c r="J46" s="25"/>
      <c r="K46" s="25"/>
      <c r="L46" s="25"/>
      <c r="M46" s="19"/>
      <c r="N46" s="19"/>
      <c r="O46" s="19"/>
      <c r="P46" s="25"/>
      <c r="Q46" s="19"/>
      <c r="R46" s="19"/>
      <c r="S46" s="19"/>
    </row>
    <row r="47" spans="3:28">
      <c r="C47" s="25"/>
      <c r="D47" s="19"/>
      <c r="E47" s="19"/>
      <c r="F47" s="19"/>
      <c r="G47" s="25"/>
      <c r="H47" s="25"/>
      <c r="I47" s="25"/>
      <c r="J47" s="25"/>
      <c r="K47" s="25"/>
      <c r="L47" s="25"/>
      <c r="M47" s="19"/>
      <c r="N47" s="19"/>
      <c r="O47" s="19"/>
      <c r="P47" s="19"/>
      <c r="Q47" s="19"/>
      <c r="R47" s="19"/>
      <c r="S47" s="19"/>
    </row>
    <row r="48" spans="3:28">
      <c r="C48" s="25"/>
      <c r="D48" s="19"/>
      <c r="E48" s="19"/>
      <c r="F48" s="19"/>
      <c r="G48" s="25"/>
      <c r="H48" s="25"/>
      <c r="I48" s="25"/>
      <c r="J48" s="25"/>
      <c r="K48" s="25"/>
      <c r="L48" s="25"/>
      <c r="M48" s="19"/>
      <c r="N48" s="19"/>
      <c r="O48" s="19"/>
      <c r="P48" s="19"/>
      <c r="Q48" s="19"/>
      <c r="R48" s="19"/>
      <c r="S48" s="19"/>
    </row>
  </sheetData>
  <sheetProtection algorithmName="SHA-512" hashValue="2S3dKM89o84Gc+9+6elxXDzaVH1eLjXNzZZf0FEVGVyLWgT3gPKKbZO3nYyrB1KG0LvgEsR4jHe5i2iEXT16lQ==" saltValue="mxSDxCMflfhFB48g69tpmQ==" spinCount="100000" sheet="1" objects="1" scenarios="1"/>
  <mergeCells count="30">
    <mergeCell ref="C14:E15"/>
    <mergeCell ref="C13:E13"/>
    <mergeCell ref="M2:U2"/>
    <mergeCell ref="C10:AB10"/>
    <mergeCell ref="C11:E11"/>
    <mergeCell ref="O4:S4"/>
    <mergeCell ref="C6:E6"/>
    <mergeCell ref="G6:Z6"/>
    <mergeCell ref="I7:P7"/>
    <mergeCell ref="Q7:S7"/>
    <mergeCell ref="T7:V7"/>
    <mergeCell ref="L11:N12"/>
    <mergeCell ref="O11:Q12"/>
    <mergeCell ref="R11:U12"/>
    <mergeCell ref="C29:D29"/>
    <mergeCell ref="I11:K11"/>
    <mergeCell ref="I12:K14"/>
    <mergeCell ref="C19:P26"/>
    <mergeCell ref="C12:E12"/>
    <mergeCell ref="F11:H12"/>
    <mergeCell ref="L13:N14"/>
    <mergeCell ref="O13:Q14"/>
    <mergeCell ref="Q19:X19"/>
    <mergeCell ref="Q26:R26"/>
    <mergeCell ref="T26:V26"/>
    <mergeCell ref="Q27:R27"/>
    <mergeCell ref="S27:T27"/>
    <mergeCell ref="R13:U15"/>
    <mergeCell ref="I15:K15"/>
    <mergeCell ref="F14:H15"/>
  </mergeCells>
  <conditionalFormatting sqref="L9:N9">
    <cfRule type="containsText" dxfId="40" priority="11" operator="containsText" text="80">
      <formula>NOT(ISERROR(SEARCH("80",L9)))</formula>
    </cfRule>
  </conditionalFormatting>
  <conditionalFormatting sqref="R11">
    <cfRule type="expression" dxfId="39" priority="3">
      <formula>AND($Q$9&lt;3000)=TRUE</formula>
    </cfRule>
  </conditionalFormatting>
  <conditionalFormatting sqref="T9">
    <cfRule type="containsText" dxfId="38" priority="10" operator="containsText" text="460">
      <formula>NOT(ISERROR(SEARCH("460",T9)))</formula>
    </cfRule>
  </conditionalFormatting>
  <conditionalFormatting sqref="U9">
    <cfRule type="containsText" dxfId="37" priority="2" operator="containsText" text="23">
      <formula>NOT(ISERROR(SEARCH("23",U9)))</formula>
    </cfRule>
    <cfRule type="containsText" dxfId="36" priority="8" operator="containsText" text="19">
      <formula>NOT(ISERROR(SEARCH("19",U9)))</formula>
    </cfRule>
    <cfRule type="containsText" dxfId="35" priority="9" operator="containsText" text="10">
      <formula>NOT(ISERROR(SEARCH("10",U9)))</formula>
    </cfRule>
  </conditionalFormatting>
  <conditionalFormatting sqref="V9 Y9:Z9">
    <cfRule type="containsText" dxfId="34" priority="7" operator="containsText" text="3">
      <formula>NOT(ISERROR(SEARCH("3",V9)))</formula>
    </cfRule>
  </conditionalFormatting>
  <conditionalFormatting sqref="V9">
    <cfRule type="containsText" dxfId="33" priority="1" operator="containsText" text="11">
      <formula>NOT(ISERROR(SEARCH("11",V9)))</formula>
    </cfRule>
  </conditionalFormatting>
  <conditionalFormatting sqref="V39">
    <cfRule type="expression" dxfId="32" priority="5">
      <formula>AND($R$9&lt;3000)=TRUE</formula>
    </cfRule>
  </conditionalFormatting>
  <conditionalFormatting sqref="Z11 V41">
    <cfRule type="expression" dxfId="31" priority="6">
      <formula>AND($R$9&lt;3000)=TRUE</formula>
    </cfRule>
  </conditionalFormatting>
  <dataValidations count="1">
    <dataValidation type="list" allowBlank="1" showInputMessage="1" showErrorMessage="1" sqref="O4:S4" xr:uid="{00000000-0002-0000-0100-000000000000}">
      <formula1>BMKEdgei</formula1>
    </dataValidation>
  </dataValidation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658B1-C895-46F1-B9EB-888D4E0F6AC3}">
  <sheetPr codeName="Sheet10">
    <tabColor theme="9" tint="0.59999389629810485"/>
  </sheetPr>
  <dimension ref="B1:AC50"/>
  <sheetViews>
    <sheetView topLeftCell="F1" workbookViewId="0">
      <selection activeCell="O4" sqref="O4:S4"/>
    </sheetView>
  </sheetViews>
  <sheetFormatPr defaultColWidth="10.875" defaultRowHeight="15.75"/>
  <cols>
    <col min="1" max="2" width="2.625" customWidth="1"/>
    <col min="3" max="12" width="11.25" customWidth="1"/>
    <col min="13" max="13" width="9.75" customWidth="1"/>
    <col min="14" max="28" width="11.25" customWidth="1"/>
    <col min="29" max="29" width="2.625" customWidth="1"/>
  </cols>
  <sheetData>
    <row r="1" spans="2:29" ht="16.5" thickBot="1"/>
    <row r="2" spans="2:29" ht="24.95" customHeight="1" thickBot="1">
      <c r="B2" s="60"/>
      <c r="C2" s="61"/>
      <c r="D2" s="62"/>
      <c r="E2" s="63"/>
      <c r="F2" s="64"/>
      <c r="G2" s="64"/>
      <c r="H2" s="64"/>
      <c r="I2" s="64"/>
      <c r="J2" s="64"/>
      <c r="K2" s="64"/>
      <c r="L2" s="64"/>
      <c r="M2" s="179" t="s">
        <v>93</v>
      </c>
      <c r="N2" s="179"/>
      <c r="O2" s="179"/>
      <c r="P2" s="179"/>
      <c r="Q2" s="179"/>
      <c r="R2" s="179"/>
      <c r="S2" s="179"/>
      <c r="T2" s="179"/>
      <c r="U2" s="149"/>
      <c r="V2" s="65"/>
      <c r="W2" s="65"/>
      <c r="X2" s="65"/>
      <c r="Y2" s="65"/>
      <c r="Z2" s="65"/>
      <c r="AA2" s="65"/>
      <c r="AB2" s="73" t="s">
        <v>1</v>
      </c>
      <c r="AC2" s="66"/>
    </row>
    <row r="3" spans="2:29" ht="15.95" customHeight="1">
      <c r="B3" s="67"/>
      <c r="AC3" s="68"/>
    </row>
    <row r="4" spans="2:29" ht="18.75">
      <c r="B4" s="67"/>
      <c r="N4" t="s">
        <v>2</v>
      </c>
      <c r="O4" s="180" t="s">
        <v>94</v>
      </c>
      <c r="P4" s="181"/>
      <c r="Q4" s="181"/>
      <c r="R4" s="181"/>
      <c r="S4" s="181"/>
      <c r="T4" s="27"/>
      <c r="U4" s="27"/>
      <c r="AC4" s="68"/>
    </row>
    <row r="5" spans="2:29" ht="16.5" thickBot="1">
      <c r="B5" s="67"/>
      <c r="AC5" s="68"/>
    </row>
    <row r="6" spans="2:29" ht="18" customHeight="1" thickBot="1">
      <c r="B6" s="67"/>
      <c r="C6" s="182"/>
      <c r="D6" s="183"/>
      <c r="E6" s="183"/>
      <c r="F6" s="49"/>
      <c r="G6" s="184" t="s">
        <v>4</v>
      </c>
      <c r="H6" s="184"/>
      <c r="I6" s="184"/>
      <c r="J6" s="184"/>
      <c r="K6" s="184"/>
      <c r="L6" s="184"/>
      <c r="M6" s="184"/>
      <c r="N6" s="184"/>
      <c r="O6" s="184"/>
      <c r="P6" s="184"/>
      <c r="Q6" s="184"/>
      <c r="R6" s="184"/>
      <c r="S6" s="184"/>
      <c r="T6" s="184"/>
      <c r="U6" s="184"/>
      <c r="V6" s="184"/>
      <c r="W6" s="184"/>
      <c r="X6" s="184"/>
      <c r="Y6" s="184"/>
      <c r="Z6" s="184"/>
      <c r="AA6" s="50"/>
      <c r="AB6" s="59"/>
      <c r="AC6" s="68"/>
    </row>
    <row r="7" spans="2:29" ht="16.5" thickBot="1">
      <c r="B7" s="67"/>
      <c r="C7" s="7"/>
      <c r="D7" s="7"/>
      <c r="E7" s="7"/>
      <c r="F7" s="7"/>
      <c r="G7" s="7"/>
      <c r="H7" s="9"/>
      <c r="I7" s="182" t="s">
        <v>5</v>
      </c>
      <c r="J7" s="185"/>
      <c r="K7" s="185"/>
      <c r="L7" s="185"/>
      <c r="M7" s="185"/>
      <c r="N7" s="185"/>
      <c r="O7" s="185"/>
      <c r="P7" s="186"/>
      <c r="Q7" s="182" t="s">
        <v>6</v>
      </c>
      <c r="R7" s="185"/>
      <c r="S7" s="186"/>
      <c r="T7" s="182" t="s">
        <v>7</v>
      </c>
      <c r="U7" s="185"/>
      <c r="V7" s="186"/>
      <c r="W7" s="8"/>
      <c r="X7" s="8"/>
      <c r="Y7" s="58"/>
      <c r="Z7" s="58"/>
      <c r="AA7" s="56"/>
      <c r="AB7" s="9"/>
      <c r="AC7" s="68"/>
    </row>
    <row r="8" spans="2:29" ht="42.95" customHeight="1" thickBot="1">
      <c r="B8" s="67"/>
      <c r="C8" s="42" t="s">
        <v>8</v>
      </c>
      <c r="D8" s="42" t="s">
        <v>9</v>
      </c>
      <c r="E8" s="42" t="s">
        <v>10</v>
      </c>
      <c r="F8" s="42" t="s">
        <v>11</v>
      </c>
      <c r="G8" s="42" t="s">
        <v>12</v>
      </c>
      <c r="H8" s="42" t="s">
        <v>13</v>
      </c>
      <c r="I8" s="42" t="s">
        <v>14</v>
      </c>
      <c r="J8" s="42" t="s">
        <v>15</v>
      </c>
      <c r="K8" s="42" t="s">
        <v>16</v>
      </c>
      <c r="L8" s="42" t="s">
        <v>17</v>
      </c>
      <c r="M8" s="42" t="s">
        <v>18</v>
      </c>
      <c r="N8" s="42" t="s">
        <v>19</v>
      </c>
      <c r="O8" s="42" t="s">
        <v>20</v>
      </c>
      <c r="P8" s="42" t="s">
        <v>21</v>
      </c>
      <c r="Q8" s="46" t="s">
        <v>22</v>
      </c>
      <c r="R8" s="46" t="s">
        <v>23</v>
      </c>
      <c r="S8" s="46" t="s">
        <v>24</v>
      </c>
      <c r="T8" s="46" t="s">
        <v>25</v>
      </c>
      <c r="U8" s="46" t="s">
        <v>26</v>
      </c>
      <c r="V8" s="46" t="s">
        <v>27</v>
      </c>
      <c r="W8" s="42" t="s">
        <v>28</v>
      </c>
      <c r="X8" s="42" t="s">
        <v>29</v>
      </c>
      <c r="Y8" s="42" t="s">
        <v>30</v>
      </c>
      <c r="Z8" s="42" t="s">
        <v>31</v>
      </c>
      <c r="AA8" s="57" t="s">
        <v>32</v>
      </c>
      <c r="AB8" s="55" t="s">
        <v>33</v>
      </c>
      <c r="AC8" s="68"/>
    </row>
    <row r="9" spans="2:29" ht="39.75" customHeight="1" thickBot="1">
      <c r="B9" s="67"/>
      <c r="C9" s="48" t="s">
        <v>34</v>
      </c>
      <c r="D9" s="48" t="s">
        <v>35</v>
      </c>
      <c r="E9" s="48" t="s">
        <v>36</v>
      </c>
      <c r="F9" s="101" t="s">
        <v>37</v>
      </c>
      <c r="G9" s="46" t="str">
        <f>VLOOKUP($O4,BMKwEDGEii,6,FALSE)</f>
        <v>5220 / 5670</v>
      </c>
      <c r="H9" s="46">
        <f>VLOOKUP($O4,BMKwEDGEii,7,FALSE)</f>
        <v>94.5</v>
      </c>
      <c r="I9" s="95">
        <f>S28</f>
        <v>100</v>
      </c>
      <c r="J9" s="46">
        <f>VLOOKUP($O4,BMKwEDGEii,9,FALSE)</f>
        <v>110</v>
      </c>
      <c r="K9" s="100" t="str">
        <f>$S$29</f>
        <v>150 PSI</v>
      </c>
      <c r="L9" s="46" t="str">
        <f>VLOOKUP($O4,BMKwEDGEii,11,FALSE)</f>
        <v>80 
150</v>
      </c>
      <c r="M9" s="47" t="s">
        <v>38</v>
      </c>
      <c r="N9" s="47" t="s">
        <v>38</v>
      </c>
      <c r="O9" s="46" t="str">
        <f>VLOOKUP($O4,BMKwEDGEii,14,FALSE)</f>
        <v>75 / 600</v>
      </c>
      <c r="P9" s="46" t="str">
        <f>VLOOKUP($O4,BMKwEDGEii,15,FALSE)</f>
        <v>4.0 PSIG @ 500 GPM</v>
      </c>
      <c r="Q9" s="46" t="str">
        <f>VLOOKUP($O4,BMKwEDGEii,16,FALSE)</f>
        <v>NATURAL GAS</v>
      </c>
      <c r="R9" s="46">
        <f>VLOOKUP($O4,BMKwEDGEii,17,FALSE)</f>
        <v>6000</v>
      </c>
      <c r="S9" s="48" t="str">
        <f>VLOOKUP($O4,BMKwEDGEii,18,FALSE)</f>
        <v>4 - 10
14 - 56</v>
      </c>
      <c r="T9" s="46" t="str">
        <f>VLOOKUP($O4,BMKwEDGEii,19,FALSE)</f>
        <v>208/3/60
460/3/60
575/3/60</v>
      </c>
      <c r="U9" s="46" t="str">
        <f>VLOOKUP($O4,BMKwEDGEii,20,FALSE)</f>
        <v>19
9
7</v>
      </c>
      <c r="V9" s="46">
        <f>VLOOKUP($O4,BMKwEDGEii,21,FALSE)</f>
        <v>5</v>
      </c>
      <c r="W9" s="46" t="str">
        <f>VLOOKUP($O4,BMKwEDGEii,22,FALSE)</f>
        <v>108 x 35 x 79</v>
      </c>
      <c r="X9" s="46">
        <f>VLOOKUP($O4,BMKwEDGEii,23,FALSE)</f>
        <v>3920</v>
      </c>
      <c r="Y9" s="46" t="s">
        <v>39</v>
      </c>
      <c r="Z9" s="101" t="s">
        <v>40</v>
      </c>
      <c r="AA9" s="46" t="s">
        <v>41</v>
      </c>
      <c r="AB9" s="46" t="str">
        <f>VLOOKUP($O4,BMKwEDGEii,27,FALSE)</f>
        <v>BMK 6000 WITH EDGE[ii]</v>
      </c>
      <c r="AC9" s="68"/>
    </row>
    <row r="10" spans="2:29" ht="16.5" customHeight="1">
      <c r="B10" s="67"/>
      <c r="C10" s="173" t="s">
        <v>42</v>
      </c>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5"/>
      <c r="AC10" s="68"/>
    </row>
    <row r="11" spans="2:29" ht="16.5" customHeight="1">
      <c r="B11" s="67"/>
      <c r="C11" s="169" t="s">
        <v>43</v>
      </c>
      <c r="D11" s="167"/>
      <c r="E11" s="167"/>
      <c r="F11" s="167"/>
      <c r="G11" s="176" t="s">
        <v>44</v>
      </c>
      <c r="H11" s="176"/>
      <c r="I11" s="176"/>
      <c r="J11" s="176"/>
      <c r="K11" s="167" t="s">
        <v>45</v>
      </c>
      <c r="L11" s="167"/>
      <c r="M11" s="167"/>
      <c r="N11" s="167" t="s">
        <v>46</v>
      </c>
      <c r="O11" s="167"/>
      <c r="P11" s="167"/>
      <c r="Q11" s="167" t="s">
        <v>47</v>
      </c>
      <c r="R11" s="167"/>
      <c r="S11" s="167"/>
      <c r="T11" s="167" t="s">
        <v>48</v>
      </c>
      <c r="U11" s="167"/>
      <c r="V11" s="167"/>
      <c r="W11" s="167" t="s">
        <v>77</v>
      </c>
      <c r="X11" s="167"/>
      <c r="Y11" s="167"/>
      <c r="Z11" s="177" t="s">
        <v>50</v>
      </c>
      <c r="AA11" s="177"/>
      <c r="AB11" s="178"/>
      <c r="AC11" s="68"/>
    </row>
    <row r="12" spans="2:29" ht="16.5" customHeight="1">
      <c r="B12" s="67"/>
      <c r="C12" s="169" t="str">
        <f>VLOOKUP($O4,BMKwEDGEii,28,FALSE)</f>
        <v>2. MINIMUM TURNDOWN: 15:1</v>
      </c>
      <c r="D12" s="167"/>
      <c r="E12" s="167"/>
      <c r="F12" s="167"/>
      <c r="G12" s="176"/>
      <c r="H12" s="176"/>
      <c r="I12" s="176"/>
      <c r="J12" s="176"/>
      <c r="K12" s="167"/>
      <c r="L12" s="167"/>
      <c r="M12" s="167"/>
      <c r="N12" s="167" t="s">
        <v>51</v>
      </c>
      <c r="O12" s="167"/>
      <c r="P12" s="167"/>
      <c r="Q12" s="167"/>
      <c r="R12" s="167"/>
      <c r="S12" s="167"/>
      <c r="T12" s="167"/>
      <c r="U12" s="167"/>
      <c r="V12" s="167"/>
      <c r="W12" s="167"/>
      <c r="X12" s="167"/>
      <c r="Y12" s="167"/>
      <c r="Z12" s="177"/>
      <c r="AA12" s="177"/>
      <c r="AB12" s="178"/>
      <c r="AC12" s="68"/>
    </row>
    <row r="13" spans="2:29" ht="16.5" customHeight="1">
      <c r="B13" s="67"/>
      <c r="C13" s="169" t="s">
        <v>52</v>
      </c>
      <c r="D13" s="167"/>
      <c r="E13" s="167"/>
      <c r="F13" s="167"/>
      <c r="G13" s="176"/>
      <c r="H13" s="176"/>
      <c r="I13" s="176"/>
      <c r="J13" s="176"/>
      <c r="K13" s="167"/>
      <c r="L13" s="167"/>
      <c r="M13" s="167"/>
      <c r="N13" s="167"/>
      <c r="O13" s="167"/>
      <c r="P13" s="167"/>
      <c r="Q13" s="167" t="s">
        <v>53</v>
      </c>
      <c r="R13" s="167"/>
      <c r="S13" s="167"/>
      <c r="T13" s="171" t="s">
        <v>54</v>
      </c>
      <c r="U13" s="171"/>
      <c r="V13" s="171"/>
      <c r="W13" s="167" t="s">
        <v>55</v>
      </c>
      <c r="X13" s="167"/>
      <c r="Y13" s="167"/>
      <c r="Z13" s="154"/>
      <c r="AA13" s="154"/>
      <c r="AB13" s="155"/>
      <c r="AC13" s="68"/>
    </row>
    <row r="14" spans="2:29" ht="16.5" customHeight="1">
      <c r="B14" s="67"/>
      <c r="C14" s="169" t="s">
        <v>56</v>
      </c>
      <c r="D14" s="167"/>
      <c r="E14" s="167"/>
      <c r="F14" s="167"/>
      <c r="G14" s="176"/>
      <c r="H14" s="176"/>
      <c r="I14" s="176"/>
      <c r="J14" s="176"/>
      <c r="K14" s="167" t="s">
        <v>57</v>
      </c>
      <c r="L14" s="167"/>
      <c r="M14" s="167"/>
      <c r="N14" s="167" t="s">
        <v>58</v>
      </c>
      <c r="O14" s="167"/>
      <c r="P14" s="167"/>
      <c r="Q14" s="167"/>
      <c r="R14" s="167"/>
      <c r="S14" s="167"/>
      <c r="T14" s="171"/>
      <c r="U14" s="171"/>
      <c r="V14" s="171"/>
      <c r="W14" s="167"/>
      <c r="X14" s="167"/>
      <c r="Y14" s="167"/>
      <c r="Z14" s="129"/>
      <c r="AA14" s="129"/>
      <c r="AB14" s="52"/>
      <c r="AC14" s="68"/>
    </row>
    <row r="15" spans="2:29" ht="16.5" customHeight="1">
      <c r="B15" s="67"/>
      <c r="C15" s="169" t="s">
        <v>59</v>
      </c>
      <c r="D15" s="167"/>
      <c r="E15" s="167"/>
      <c r="F15" s="167"/>
      <c r="G15" s="167" t="s">
        <v>60</v>
      </c>
      <c r="H15" s="167"/>
      <c r="I15" s="167"/>
      <c r="J15" s="167"/>
      <c r="K15" s="167" t="s">
        <v>61</v>
      </c>
      <c r="L15" s="167"/>
      <c r="M15" s="167"/>
      <c r="N15" s="167"/>
      <c r="O15" s="167"/>
      <c r="P15" s="167"/>
      <c r="Q15" s="171" t="s">
        <v>62</v>
      </c>
      <c r="R15" s="171"/>
      <c r="S15" s="171"/>
      <c r="T15" s="171" t="s">
        <v>63</v>
      </c>
      <c r="U15" s="171"/>
      <c r="V15" s="171"/>
      <c r="W15" s="167" t="s">
        <v>64</v>
      </c>
      <c r="X15" s="167"/>
      <c r="Y15" s="167"/>
      <c r="AA15" s="129"/>
      <c r="AB15" s="52"/>
      <c r="AC15" s="68"/>
    </row>
    <row r="16" spans="2:29" ht="16.5" customHeight="1">
      <c r="B16" s="67"/>
      <c r="C16" s="169" t="s">
        <v>65</v>
      </c>
      <c r="D16" s="167"/>
      <c r="E16" s="167"/>
      <c r="F16" s="167"/>
      <c r="G16" s="167"/>
      <c r="H16" s="167"/>
      <c r="I16" s="167"/>
      <c r="J16" s="167"/>
      <c r="K16" s="167"/>
      <c r="L16" s="167"/>
      <c r="M16" s="167"/>
      <c r="N16" s="167" t="s">
        <v>66</v>
      </c>
      <c r="O16" s="167"/>
      <c r="P16" s="167"/>
      <c r="Q16" s="171"/>
      <c r="R16" s="171"/>
      <c r="S16" s="171"/>
      <c r="T16" s="171"/>
      <c r="U16" s="171"/>
      <c r="V16" s="171"/>
      <c r="W16" s="167"/>
      <c r="X16" s="167"/>
      <c r="Y16" s="167"/>
      <c r="Z16" s="129"/>
      <c r="AA16" s="129"/>
      <c r="AB16" s="52"/>
      <c r="AC16" s="68"/>
    </row>
    <row r="17" spans="2:29" ht="15" customHeight="1" thickBot="1">
      <c r="B17" s="67"/>
      <c r="C17" s="172"/>
      <c r="D17" s="168"/>
      <c r="E17" s="168"/>
      <c r="F17" s="168"/>
      <c r="G17" s="168"/>
      <c r="H17" s="168"/>
      <c r="I17" s="168"/>
      <c r="J17" s="168"/>
      <c r="K17" s="168"/>
      <c r="L17" s="168"/>
      <c r="M17" s="168"/>
      <c r="N17" s="168"/>
      <c r="O17" s="168"/>
      <c r="P17" s="168"/>
      <c r="Q17" s="187"/>
      <c r="R17" s="187"/>
      <c r="S17" s="187"/>
      <c r="T17" s="187"/>
      <c r="U17" s="187"/>
      <c r="V17" s="187"/>
      <c r="W17" s="168"/>
      <c r="X17" s="168"/>
      <c r="Y17" s="168"/>
      <c r="Z17" s="130"/>
      <c r="AA17" s="130"/>
      <c r="AB17" s="53"/>
      <c r="AC17" s="68"/>
    </row>
    <row r="18" spans="2:29" ht="16.5" customHeight="1">
      <c r="B18" s="67"/>
      <c r="AC18" s="68"/>
    </row>
    <row r="19" spans="2:29" ht="16.5" customHeight="1">
      <c r="B19" s="67"/>
      <c r="AC19" s="68"/>
    </row>
    <row r="20" spans="2:29">
      <c r="B20" s="67"/>
      <c r="AC20" s="68"/>
    </row>
    <row r="21" spans="2:29">
      <c r="B21" s="67"/>
      <c r="C21" s="163" t="s">
        <v>67</v>
      </c>
      <c r="D21" s="164"/>
      <c r="E21" s="164"/>
      <c r="F21" s="164"/>
      <c r="G21" s="164"/>
      <c r="H21" s="164"/>
      <c r="I21" s="164"/>
      <c r="J21" s="164"/>
      <c r="K21" s="164"/>
      <c r="L21" s="164"/>
      <c r="M21" s="164"/>
      <c r="N21" s="164"/>
      <c r="O21" s="164"/>
      <c r="P21" s="165"/>
      <c r="Q21" s="163" t="s">
        <v>68</v>
      </c>
      <c r="R21" s="166"/>
      <c r="S21" s="166"/>
      <c r="T21" s="166"/>
      <c r="U21" s="166"/>
      <c r="V21" s="166"/>
      <c r="W21" s="166"/>
      <c r="X21" s="166"/>
      <c r="AC21" s="68"/>
    </row>
    <row r="22" spans="2:29">
      <c r="B22" s="67"/>
      <c r="C22" s="164"/>
      <c r="D22" s="164"/>
      <c r="E22" s="164"/>
      <c r="F22" s="164"/>
      <c r="G22" s="164"/>
      <c r="H22" s="164"/>
      <c r="I22" s="164"/>
      <c r="J22" s="164"/>
      <c r="K22" s="164"/>
      <c r="L22" s="164"/>
      <c r="M22" s="164"/>
      <c r="N22" s="164"/>
      <c r="O22" s="164"/>
      <c r="P22" s="165"/>
      <c r="Q22" s="26"/>
      <c r="AC22" s="68"/>
    </row>
    <row r="23" spans="2:29">
      <c r="B23" s="67"/>
      <c r="C23" s="164"/>
      <c r="D23" s="164"/>
      <c r="E23" s="164"/>
      <c r="F23" s="164"/>
      <c r="G23" s="164"/>
      <c r="H23" s="164"/>
      <c r="I23" s="164"/>
      <c r="J23" s="164"/>
      <c r="K23" s="164"/>
      <c r="L23" s="164"/>
      <c r="M23" s="164"/>
      <c r="N23" s="164"/>
      <c r="O23" s="164"/>
      <c r="P23" s="165"/>
      <c r="Q23" s="26" t="s">
        <v>69</v>
      </c>
      <c r="AC23" s="68"/>
    </row>
    <row r="24" spans="2:29">
      <c r="B24" s="67"/>
      <c r="C24" s="164"/>
      <c r="D24" s="164"/>
      <c r="E24" s="164"/>
      <c r="F24" s="164"/>
      <c r="G24" s="164"/>
      <c r="H24" s="164"/>
      <c r="I24" s="164"/>
      <c r="J24" s="164"/>
      <c r="K24" s="164"/>
      <c r="L24" s="164"/>
      <c r="M24" s="164"/>
      <c r="N24" s="164"/>
      <c r="O24" s="164"/>
      <c r="P24" s="165"/>
      <c r="Q24" s="26" t="s">
        <v>70</v>
      </c>
      <c r="AC24" s="68"/>
    </row>
    <row r="25" spans="2:29">
      <c r="B25" s="67"/>
      <c r="C25" s="164"/>
      <c r="D25" s="164"/>
      <c r="E25" s="164"/>
      <c r="F25" s="164"/>
      <c r="G25" s="164"/>
      <c r="H25" s="164"/>
      <c r="I25" s="164"/>
      <c r="J25" s="164"/>
      <c r="K25" s="164"/>
      <c r="L25" s="164"/>
      <c r="M25" s="164"/>
      <c r="N25" s="164"/>
      <c r="O25" s="164"/>
      <c r="P25" s="165"/>
      <c r="Q25" s="26" t="s">
        <v>71</v>
      </c>
      <c r="AC25" s="68"/>
    </row>
    <row r="26" spans="2:29">
      <c r="B26" s="67"/>
      <c r="C26" s="164"/>
      <c r="D26" s="164"/>
      <c r="E26" s="164"/>
      <c r="F26" s="164"/>
      <c r="G26" s="164"/>
      <c r="H26" s="164"/>
      <c r="I26" s="164"/>
      <c r="J26" s="164"/>
      <c r="K26" s="164"/>
      <c r="L26" s="164"/>
      <c r="M26" s="164"/>
      <c r="N26" s="164"/>
      <c r="O26" s="164"/>
      <c r="P26" s="165"/>
      <c r="Q26" s="26"/>
      <c r="AC26" s="68"/>
    </row>
    <row r="27" spans="2:29">
      <c r="B27" s="67"/>
      <c r="C27" s="164"/>
      <c r="D27" s="164"/>
      <c r="E27" s="164"/>
      <c r="F27" s="164"/>
      <c r="G27" s="164"/>
      <c r="H27" s="164"/>
      <c r="I27" s="164"/>
      <c r="J27" s="164"/>
      <c r="K27" s="164"/>
      <c r="L27" s="164"/>
      <c r="M27" s="164"/>
      <c r="N27" s="164"/>
      <c r="O27" s="164"/>
      <c r="P27" s="165"/>
      <c r="Q27" s="21"/>
      <c r="R27" s="22"/>
      <c r="S27" s="22"/>
      <c r="T27" s="22"/>
      <c r="U27" s="22"/>
      <c r="V27" s="22"/>
      <c r="W27" s="22"/>
      <c r="X27" s="22"/>
      <c r="AC27" s="68"/>
    </row>
    <row r="28" spans="2:29">
      <c r="B28" s="67"/>
      <c r="C28" s="164"/>
      <c r="D28" s="164"/>
      <c r="E28" s="164"/>
      <c r="F28" s="164"/>
      <c r="G28" s="164"/>
      <c r="H28" s="164"/>
      <c r="I28" s="164"/>
      <c r="J28" s="164"/>
      <c r="K28" s="164"/>
      <c r="L28" s="164"/>
      <c r="M28" s="164"/>
      <c r="N28" s="164"/>
      <c r="O28" s="164"/>
      <c r="P28" s="165"/>
      <c r="Q28" s="159" t="s">
        <v>72</v>
      </c>
      <c r="R28" s="160"/>
      <c r="S28" s="96">
        <v>100</v>
      </c>
      <c r="T28" s="160" t="s">
        <v>73</v>
      </c>
      <c r="U28" s="160"/>
      <c r="V28" s="160"/>
      <c r="AC28" s="68"/>
    </row>
    <row r="29" spans="2:29">
      <c r="B29" s="67"/>
      <c r="C29" s="51"/>
      <c r="D29" s="51"/>
      <c r="E29" s="26"/>
      <c r="F29" s="26"/>
      <c r="G29" s="26"/>
      <c r="H29" s="26"/>
      <c r="I29" s="26"/>
      <c r="J29" s="26"/>
      <c r="K29" s="26"/>
      <c r="L29" s="26"/>
      <c r="M29" s="26"/>
      <c r="N29" s="26"/>
      <c r="O29" s="26"/>
      <c r="Q29" s="159" t="s">
        <v>74</v>
      </c>
      <c r="R29" s="160"/>
      <c r="S29" s="161" t="str">
        <f>INDEX(RVpressure,MATCH(1,RV_BMKEDGEii,0))&amp;" PSI"</f>
        <v>150 PSI</v>
      </c>
      <c r="T29" s="160"/>
      <c r="U29" s="109">
        <f>IF(S28*120%&lt;=S28+15,S28+15,S28*120%)</f>
        <v>120</v>
      </c>
      <c r="V29" s="97"/>
      <c r="AC29" s="68"/>
    </row>
    <row r="30" spans="2:29">
      <c r="B30" s="67"/>
      <c r="C30" s="51"/>
      <c r="D30" s="51"/>
      <c r="E30" s="26"/>
      <c r="F30" s="26"/>
      <c r="G30" s="26"/>
      <c r="H30" s="26"/>
      <c r="I30" s="26"/>
      <c r="J30" s="26"/>
      <c r="K30" s="26"/>
      <c r="L30" s="26"/>
      <c r="M30" s="26"/>
      <c r="N30" s="26"/>
      <c r="O30" s="26"/>
      <c r="R30" s="26"/>
      <c r="S30" s="26"/>
      <c r="T30" s="26"/>
      <c r="U30" s="26"/>
      <c r="V30" s="26"/>
      <c r="W30" s="26"/>
      <c r="X30" s="26"/>
      <c r="AC30" s="68"/>
    </row>
    <row r="31" spans="2:29">
      <c r="B31" s="67"/>
      <c r="C31" s="162"/>
      <c r="D31" s="162"/>
      <c r="E31" s="26"/>
      <c r="F31" s="26"/>
      <c r="G31" s="26"/>
      <c r="H31" s="26"/>
      <c r="I31" s="26"/>
      <c r="J31" s="26"/>
      <c r="K31" s="26"/>
      <c r="L31" s="26"/>
      <c r="M31" s="26"/>
      <c r="N31" s="26"/>
      <c r="O31" s="26"/>
      <c r="Q31" s="26"/>
      <c r="R31" s="26"/>
      <c r="S31" s="26"/>
      <c r="T31" s="26"/>
      <c r="U31" s="26"/>
      <c r="V31" s="26"/>
      <c r="W31" s="26"/>
      <c r="X31" s="26"/>
      <c r="AC31" s="68"/>
    </row>
    <row r="32" spans="2:29" ht="16.5" thickBot="1">
      <c r="B32" s="69"/>
      <c r="C32" s="70"/>
      <c r="D32" s="70"/>
      <c r="E32" s="71"/>
      <c r="F32" s="71"/>
      <c r="G32" s="71"/>
      <c r="H32" s="71"/>
      <c r="I32" s="71"/>
      <c r="J32" s="71"/>
      <c r="K32" s="71"/>
      <c r="L32" s="71"/>
      <c r="M32" s="71"/>
      <c r="N32" s="71"/>
      <c r="O32" s="71"/>
      <c r="P32" s="70"/>
      <c r="Q32" s="70"/>
      <c r="R32" s="70"/>
      <c r="S32" s="70"/>
      <c r="T32" s="70"/>
      <c r="U32" s="70"/>
      <c r="V32" s="70"/>
      <c r="W32" s="70"/>
      <c r="X32" s="70"/>
      <c r="Y32" s="72"/>
      <c r="Z32" s="72"/>
      <c r="AA32" s="72"/>
      <c r="AB32" s="72"/>
      <c r="AC32" s="74"/>
    </row>
    <row r="33" spans="3:28">
      <c r="C33" s="25"/>
      <c r="D33" s="25"/>
      <c r="E33" s="25"/>
      <c r="F33" s="25"/>
      <c r="G33" s="25"/>
      <c r="H33" s="25"/>
      <c r="I33" s="20"/>
      <c r="J33" s="20"/>
      <c r="K33" s="20"/>
      <c r="L33" s="20"/>
      <c r="M33" s="20"/>
      <c r="N33" s="20"/>
      <c r="O33" s="20"/>
      <c r="Y33" s="16"/>
      <c r="Z33" s="16"/>
      <c r="AA33" s="16"/>
      <c r="AB33" s="16"/>
    </row>
    <row r="34" spans="3:28" ht="15.95" customHeight="1">
      <c r="C34" s="25"/>
      <c r="D34" s="25"/>
      <c r="E34" s="25"/>
      <c r="F34" s="25"/>
      <c r="L34" s="23"/>
      <c r="M34" s="24"/>
      <c r="N34" s="24"/>
    </row>
    <row r="35" spans="3:28">
      <c r="C35" s="25"/>
      <c r="D35" s="25"/>
      <c r="G35" s="44"/>
      <c r="H35" s="44"/>
      <c r="I35" s="44"/>
      <c r="J35" s="44"/>
    </row>
    <row r="36" spans="3:28">
      <c r="C36" s="25"/>
      <c r="D36" s="25"/>
      <c r="E36" s="25"/>
      <c r="F36" s="25"/>
      <c r="G36" s="25"/>
      <c r="H36" s="25"/>
      <c r="L36" s="25"/>
      <c r="M36" s="25"/>
    </row>
    <row r="37" spans="3:28">
      <c r="C37" s="25"/>
      <c r="D37" s="25"/>
      <c r="E37" s="25"/>
      <c r="F37" s="25"/>
      <c r="G37" s="25"/>
      <c r="H37" s="25"/>
      <c r="L37" s="25"/>
      <c r="M37" s="25"/>
      <c r="Q37" s="25"/>
      <c r="U37" s="25"/>
      <c r="V37" s="19"/>
      <c r="W37" s="19"/>
      <c r="X37" s="25"/>
      <c r="Y37" s="25"/>
      <c r="Z37" s="25"/>
      <c r="AA37" s="25"/>
      <c r="AB37" s="25"/>
    </row>
    <row r="38" spans="3:28">
      <c r="C38" s="25"/>
      <c r="G38" s="19"/>
      <c r="H38" s="19"/>
      <c r="I38" s="19"/>
      <c r="J38" s="19"/>
      <c r="K38" s="25"/>
      <c r="L38" s="25"/>
      <c r="M38" s="25"/>
      <c r="N38" s="24"/>
      <c r="O38" s="25"/>
      <c r="P38" s="25"/>
      <c r="Q38" s="25"/>
      <c r="R38" s="25"/>
      <c r="S38" s="19"/>
      <c r="T38" s="19"/>
      <c r="U38" s="19"/>
      <c r="V38" s="19"/>
      <c r="W38" s="19"/>
      <c r="X38" s="25"/>
      <c r="Y38" s="25"/>
      <c r="Z38" s="25"/>
      <c r="AA38" s="25"/>
      <c r="AB38" s="25"/>
    </row>
    <row r="39" spans="3:28">
      <c r="C39" s="25"/>
      <c r="D39" s="19"/>
      <c r="E39" s="19"/>
      <c r="F39" s="19"/>
      <c r="O39" s="25"/>
      <c r="P39" s="25"/>
      <c r="Q39" s="25"/>
      <c r="R39" s="19"/>
      <c r="S39" s="19"/>
      <c r="T39" s="19"/>
      <c r="U39" s="19"/>
      <c r="V39" s="19"/>
      <c r="W39" s="19"/>
      <c r="X39" s="25"/>
      <c r="Y39" s="25"/>
      <c r="Z39" s="25"/>
      <c r="AA39" s="25"/>
      <c r="AB39" s="25"/>
    </row>
    <row r="40" spans="3:28">
      <c r="C40" s="19"/>
      <c r="D40" s="19"/>
      <c r="E40" s="19"/>
      <c r="F40" s="19"/>
    </row>
    <row r="41" spans="3:28">
      <c r="C41" s="19"/>
      <c r="D41" s="19"/>
      <c r="E41" s="44"/>
      <c r="F41" s="44"/>
      <c r="G41" s="40"/>
      <c r="H41" s="40"/>
      <c r="I41" s="40"/>
      <c r="J41" s="43"/>
      <c r="K41" s="43"/>
      <c r="L41" s="43"/>
      <c r="M41" s="44"/>
      <c r="N41" s="44"/>
      <c r="O41" s="44"/>
      <c r="P41" s="45"/>
      <c r="Q41" s="45"/>
      <c r="R41" s="45"/>
      <c r="S41" s="44"/>
      <c r="T41" s="44"/>
      <c r="U41" s="44"/>
      <c r="V41" s="44"/>
      <c r="W41" s="44"/>
      <c r="X41" s="44"/>
      <c r="Y41" s="44"/>
      <c r="Z41" s="44"/>
      <c r="AA41" s="44"/>
      <c r="AB41" s="44"/>
    </row>
    <row r="42" spans="3:28">
      <c r="E42" s="45"/>
      <c r="F42" s="45"/>
      <c r="G42" s="45"/>
      <c r="H42" s="45"/>
      <c r="I42" s="45"/>
      <c r="J42" s="44"/>
      <c r="K42" s="44"/>
      <c r="L42" s="44"/>
      <c r="M42" s="44"/>
      <c r="N42" s="44"/>
      <c r="O42" s="44"/>
      <c r="P42" s="45"/>
      <c r="Q42" s="45"/>
      <c r="R42" s="45"/>
      <c r="S42" s="44"/>
      <c r="T42" s="44"/>
      <c r="U42" s="44"/>
      <c r="V42" s="44"/>
      <c r="W42" s="44"/>
      <c r="X42" s="44"/>
      <c r="Y42" s="44"/>
      <c r="Z42" s="44"/>
      <c r="AA42" s="44"/>
      <c r="AB42" s="44"/>
    </row>
    <row r="43" spans="3:28">
      <c r="C43" s="23"/>
      <c r="D43" s="24"/>
      <c r="E43" s="44"/>
      <c r="F43" s="44"/>
      <c r="G43" s="44"/>
      <c r="H43" s="44"/>
      <c r="I43" s="44"/>
      <c r="J43" s="44"/>
      <c r="K43" s="44"/>
      <c r="L43" s="44"/>
      <c r="M43" s="44"/>
      <c r="N43" s="44"/>
      <c r="O43" s="44"/>
      <c r="P43" s="44"/>
      <c r="Q43" s="44"/>
      <c r="R43" s="44"/>
      <c r="S43" s="44"/>
      <c r="T43" s="44"/>
      <c r="U43" s="44"/>
      <c r="V43" s="44"/>
      <c r="W43" s="44"/>
      <c r="X43" s="44"/>
      <c r="Y43" s="44"/>
      <c r="Z43" s="44"/>
      <c r="AA43" s="44"/>
      <c r="AB43" s="44"/>
    </row>
    <row r="44" spans="3:28">
      <c r="E44" s="44"/>
      <c r="F44" s="44"/>
      <c r="G44" s="44"/>
      <c r="H44" s="44"/>
      <c r="I44" s="44"/>
      <c r="J44" s="44"/>
      <c r="K44" s="44"/>
      <c r="L44" s="44"/>
      <c r="M44" s="44"/>
      <c r="N44" s="44"/>
      <c r="O44" s="44"/>
      <c r="P44" s="44"/>
      <c r="Q44" s="44"/>
      <c r="R44" s="44"/>
      <c r="S44" s="44"/>
      <c r="T44" s="44"/>
      <c r="U44" s="44"/>
      <c r="V44" s="44"/>
      <c r="W44" s="44"/>
      <c r="X44" s="44"/>
      <c r="Y44" s="44"/>
      <c r="Z44" s="44"/>
      <c r="AA44" s="44"/>
      <c r="AB44" s="44"/>
    </row>
    <row r="45" spans="3:28">
      <c r="C45" s="23"/>
      <c r="D45" s="24"/>
      <c r="E45" s="24"/>
      <c r="F45" s="24"/>
    </row>
    <row r="48" spans="3:28">
      <c r="C48" s="25"/>
      <c r="D48" s="19"/>
      <c r="E48" s="19"/>
      <c r="F48" s="19"/>
      <c r="G48" s="25"/>
      <c r="H48" s="25"/>
      <c r="I48" s="25"/>
      <c r="J48" s="25"/>
      <c r="K48" s="25"/>
      <c r="L48" s="25"/>
      <c r="M48" s="19"/>
      <c r="N48" s="19"/>
      <c r="O48" s="19"/>
      <c r="P48" s="25"/>
      <c r="Q48" s="19"/>
      <c r="R48" s="19"/>
      <c r="S48" s="19"/>
    </row>
    <row r="49" spans="3:19">
      <c r="C49" s="25"/>
      <c r="D49" s="19"/>
      <c r="E49" s="19"/>
      <c r="F49" s="19"/>
      <c r="G49" s="25"/>
      <c r="H49" s="25"/>
      <c r="I49" s="25"/>
      <c r="J49" s="25"/>
      <c r="K49" s="25"/>
      <c r="L49" s="25"/>
      <c r="M49" s="19"/>
      <c r="N49" s="19"/>
      <c r="O49" s="19"/>
      <c r="P49" s="19"/>
      <c r="Q49" s="19"/>
      <c r="R49" s="19"/>
      <c r="S49" s="19"/>
    </row>
    <row r="50" spans="3:19">
      <c r="C50" s="25"/>
      <c r="D50" s="19"/>
      <c r="E50" s="19"/>
      <c r="F50" s="19"/>
      <c r="G50" s="25"/>
      <c r="H50" s="25"/>
      <c r="I50" s="25"/>
      <c r="J50" s="25"/>
      <c r="K50" s="25"/>
      <c r="L50" s="25"/>
      <c r="M50" s="19"/>
      <c r="N50" s="19"/>
      <c r="O50" s="19"/>
      <c r="P50" s="19"/>
      <c r="Q50" s="19"/>
      <c r="R50" s="19"/>
      <c r="S50" s="19"/>
    </row>
  </sheetData>
  <sheetProtection algorithmName="SHA-512" hashValue="sqzq4dQT0+IygBRjE2eSbjMXgETmO0BOjKM+fjwtG2+Rabar0uUS+z5Tg5EQJaB/02ZttPrZHAKxNWmLN7SINg==" saltValue="wufjxwwB0YTYqIq7kiytlQ==" spinCount="100000" sheet="1" objects="1" scenarios="1"/>
  <mergeCells count="40">
    <mergeCell ref="M2:T2"/>
    <mergeCell ref="O4:S4"/>
    <mergeCell ref="C6:E6"/>
    <mergeCell ref="G6:Z6"/>
    <mergeCell ref="I7:P7"/>
    <mergeCell ref="Q7:S7"/>
    <mergeCell ref="T7:V7"/>
    <mergeCell ref="C10:AB10"/>
    <mergeCell ref="C11:F11"/>
    <mergeCell ref="G11:J14"/>
    <mergeCell ref="K11:M13"/>
    <mergeCell ref="N11:P11"/>
    <mergeCell ref="Q11:S12"/>
    <mergeCell ref="T11:V12"/>
    <mergeCell ref="W11:Y12"/>
    <mergeCell ref="Z11:AB12"/>
    <mergeCell ref="C12:F12"/>
    <mergeCell ref="N12:P13"/>
    <mergeCell ref="C13:F13"/>
    <mergeCell ref="Q13:S14"/>
    <mergeCell ref="T13:V14"/>
    <mergeCell ref="W13:Y14"/>
    <mergeCell ref="C14:F14"/>
    <mergeCell ref="K14:M14"/>
    <mergeCell ref="N14:P15"/>
    <mergeCell ref="C15:F15"/>
    <mergeCell ref="G15:J17"/>
    <mergeCell ref="C31:D31"/>
    <mergeCell ref="Q29:R29"/>
    <mergeCell ref="S29:T29"/>
    <mergeCell ref="K15:M17"/>
    <mergeCell ref="W15:Y17"/>
    <mergeCell ref="C16:F17"/>
    <mergeCell ref="N16:P17"/>
    <mergeCell ref="T15:V17"/>
    <mergeCell ref="Q15:S17"/>
    <mergeCell ref="C21:P28"/>
    <mergeCell ref="Q21:X21"/>
    <mergeCell ref="Q28:R28"/>
    <mergeCell ref="T28:V28"/>
  </mergeCells>
  <conditionalFormatting sqref="L9:N9">
    <cfRule type="containsText" dxfId="30" priority="9" operator="containsText" text="80">
      <formula>NOT(ISERROR(SEARCH("80",L9)))</formula>
    </cfRule>
  </conditionalFormatting>
  <conditionalFormatting sqref="T9">
    <cfRule type="containsText" dxfId="29" priority="8" operator="containsText" text="460">
      <formula>NOT(ISERROR(SEARCH("460",T9)))</formula>
    </cfRule>
  </conditionalFormatting>
  <conditionalFormatting sqref="U9">
    <cfRule type="containsText" dxfId="28" priority="2" operator="containsText" text="23">
      <formula>NOT(ISERROR(SEARCH("23",U9)))</formula>
    </cfRule>
    <cfRule type="containsText" dxfId="27" priority="6" operator="containsText" text="19">
      <formula>NOT(ISERROR(SEARCH("19",U9)))</formula>
    </cfRule>
    <cfRule type="containsText" dxfId="26" priority="7" operator="containsText" text="10">
      <formula>NOT(ISERROR(SEARCH("10",U9)))</formula>
    </cfRule>
  </conditionalFormatting>
  <conditionalFormatting sqref="V9">
    <cfRule type="containsText" dxfId="25" priority="1" operator="containsText" text="11">
      <formula>NOT(ISERROR(SEARCH("11",V9)))</formula>
    </cfRule>
    <cfRule type="containsText" dxfId="24" priority="5" operator="containsText" text="3">
      <formula>NOT(ISERROR(SEARCH("3",V9)))</formula>
    </cfRule>
  </conditionalFormatting>
  <conditionalFormatting sqref="V41">
    <cfRule type="expression" dxfId="23" priority="3">
      <formula>AND($R$9&lt;3000)=TRUE</formula>
    </cfRule>
  </conditionalFormatting>
  <conditionalFormatting sqref="Z11 V43">
    <cfRule type="expression" dxfId="22" priority="4">
      <formula>AND($R$9&lt;3000)=TRUE</formula>
    </cfRule>
  </conditionalFormatting>
  <dataValidations count="1">
    <dataValidation type="list" allowBlank="1" showInputMessage="1" showErrorMessage="1" sqref="O4:S4" xr:uid="{06943FE4-3A96-486E-A7AD-8377A71F9C43}">
      <formula1>BMKEDGEii</formula1>
    </dataValidation>
  </dataValidations>
  <pageMargins left="0.7" right="0.7" top="0.75" bottom="0.75" header="0.3" footer="0.3"/>
  <pageSetup orientation="portrait" horizontalDpi="300" verticalDpi="300" r:id="rId1"/>
  <ignoredErrors>
    <ignoredError sqref="G9:L9 O9:X9 AB9 C1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8" tint="-0.249977111117893"/>
  </sheetPr>
  <dimension ref="B1:AC48"/>
  <sheetViews>
    <sheetView topLeftCell="F12" workbookViewId="0">
      <selection activeCell="S27" sqref="S27:T27"/>
    </sheetView>
  </sheetViews>
  <sheetFormatPr defaultColWidth="10.875" defaultRowHeight="15.75"/>
  <cols>
    <col min="1" max="2" width="2.625" customWidth="1"/>
    <col min="3" max="28" width="11.25" customWidth="1"/>
    <col min="29" max="29" width="2.625" customWidth="1"/>
  </cols>
  <sheetData>
    <row r="1" spans="2:29" ht="16.5" thickBot="1"/>
    <row r="2" spans="2:29" ht="24.95" customHeight="1" thickBot="1">
      <c r="B2" s="60"/>
      <c r="C2" s="61"/>
      <c r="D2" s="62"/>
      <c r="E2" s="63"/>
      <c r="F2" s="64"/>
      <c r="G2" s="64"/>
      <c r="H2" s="64"/>
      <c r="I2" s="64"/>
      <c r="J2" s="64"/>
      <c r="K2" s="64"/>
      <c r="L2" s="64"/>
      <c r="M2" s="64"/>
      <c r="N2" s="64"/>
      <c r="O2" s="179" t="s">
        <v>95</v>
      </c>
      <c r="P2" s="179"/>
      <c r="Q2" s="179"/>
      <c r="R2" s="179"/>
      <c r="S2" s="179"/>
      <c r="T2" s="65"/>
      <c r="U2" s="65"/>
      <c r="V2" s="65"/>
      <c r="W2" s="65"/>
      <c r="X2" s="65"/>
      <c r="Y2" s="65"/>
      <c r="Z2" s="65"/>
      <c r="AA2" s="65"/>
      <c r="AB2" s="73" t="s">
        <v>1</v>
      </c>
      <c r="AC2" s="66"/>
    </row>
    <row r="3" spans="2:29" ht="15.95" customHeight="1">
      <c r="B3" s="67"/>
      <c r="AC3" s="68"/>
    </row>
    <row r="4" spans="2:29" ht="18.75">
      <c r="B4" s="67"/>
      <c r="N4" s="136" t="s">
        <v>2</v>
      </c>
      <c r="O4" s="180" t="s">
        <v>96</v>
      </c>
      <c r="P4" s="181"/>
      <c r="Q4" s="181"/>
      <c r="R4" s="181"/>
      <c r="S4" s="181"/>
      <c r="T4" s="27"/>
      <c r="U4" s="27"/>
      <c r="AC4" s="68"/>
    </row>
    <row r="5" spans="2:29" ht="16.5" thickBot="1">
      <c r="B5" s="67"/>
      <c r="AC5" s="68"/>
    </row>
    <row r="6" spans="2:29" ht="18" customHeight="1" thickBot="1">
      <c r="B6" s="67"/>
      <c r="C6" s="182"/>
      <c r="D6" s="183"/>
      <c r="E6" s="183"/>
      <c r="F6" s="49"/>
      <c r="G6" s="184" t="s">
        <v>4</v>
      </c>
      <c r="H6" s="184"/>
      <c r="I6" s="184"/>
      <c r="J6" s="184"/>
      <c r="K6" s="184"/>
      <c r="L6" s="184"/>
      <c r="M6" s="184"/>
      <c r="N6" s="184"/>
      <c r="O6" s="184"/>
      <c r="P6" s="184"/>
      <c r="Q6" s="184"/>
      <c r="R6" s="184"/>
      <c r="S6" s="184"/>
      <c r="T6" s="184"/>
      <c r="U6" s="184"/>
      <c r="V6" s="184"/>
      <c r="W6" s="184"/>
      <c r="X6" s="184"/>
      <c r="Y6" s="184"/>
      <c r="Z6" s="184"/>
      <c r="AA6" s="50"/>
      <c r="AB6" s="59"/>
      <c r="AC6" s="68"/>
    </row>
    <row r="7" spans="2:29" ht="16.5" thickBot="1">
      <c r="B7" s="67"/>
      <c r="C7" s="7"/>
      <c r="D7" s="7"/>
      <c r="E7" s="7"/>
      <c r="F7" s="7"/>
      <c r="G7" s="7"/>
      <c r="H7" s="9"/>
      <c r="I7" s="182" t="s">
        <v>5</v>
      </c>
      <c r="J7" s="185"/>
      <c r="K7" s="185"/>
      <c r="L7" s="185"/>
      <c r="M7" s="185"/>
      <c r="N7" s="185"/>
      <c r="O7" s="185"/>
      <c r="P7" s="186"/>
      <c r="Q7" s="182" t="s">
        <v>6</v>
      </c>
      <c r="R7" s="185"/>
      <c r="S7" s="186"/>
      <c r="T7" s="182" t="s">
        <v>7</v>
      </c>
      <c r="U7" s="185"/>
      <c r="V7" s="186"/>
      <c r="W7" s="8"/>
      <c r="X7" s="8"/>
      <c r="Y7" s="58"/>
      <c r="Z7" s="58"/>
      <c r="AA7" s="56"/>
      <c r="AB7" s="9"/>
      <c r="AC7" s="68"/>
    </row>
    <row r="8" spans="2:29" ht="42.95" customHeight="1" thickBot="1">
      <c r="B8" s="67"/>
      <c r="C8" s="42" t="s">
        <v>8</v>
      </c>
      <c r="D8" s="42" t="s">
        <v>9</v>
      </c>
      <c r="E8" s="42" t="s">
        <v>10</v>
      </c>
      <c r="F8" s="42" t="s">
        <v>11</v>
      </c>
      <c r="G8" s="42" t="s">
        <v>97</v>
      </c>
      <c r="H8" s="42" t="s">
        <v>98</v>
      </c>
      <c r="I8" s="42" t="s">
        <v>14</v>
      </c>
      <c r="J8" s="42" t="s">
        <v>15</v>
      </c>
      <c r="K8" s="42" t="s">
        <v>16</v>
      </c>
      <c r="L8" s="42" t="s">
        <v>17</v>
      </c>
      <c r="M8" s="42" t="s">
        <v>18</v>
      </c>
      <c r="N8" s="42" t="s">
        <v>19</v>
      </c>
      <c r="O8" s="42" t="s">
        <v>20</v>
      </c>
      <c r="P8" s="42" t="s">
        <v>21</v>
      </c>
      <c r="Q8" s="46" t="s">
        <v>22</v>
      </c>
      <c r="R8" s="46" t="s">
        <v>23</v>
      </c>
      <c r="S8" s="46" t="s">
        <v>24</v>
      </c>
      <c r="T8" s="46" t="s">
        <v>25</v>
      </c>
      <c r="U8" s="46" t="s">
        <v>26</v>
      </c>
      <c r="V8" s="46" t="s">
        <v>99</v>
      </c>
      <c r="W8" s="42" t="s">
        <v>28</v>
      </c>
      <c r="X8" s="42" t="s">
        <v>29</v>
      </c>
      <c r="Y8" s="42" t="s">
        <v>30</v>
      </c>
      <c r="Z8" s="42" t="s">
        <v>31</v>
      </c>
      <c r="AA8" s="57" t="s">
        <v>32</v>
      </c>
      <c r="AB8" s="55" t="s">
        <v>33</v>
      </c>
      <c r="AC8" s="68"/>
    </row>
    <row r="9" spans="2:29" ht="39" customHeight="1" thickBot="1">
      <c r="B9" s="67"/>
      <c r="C9" s="48" t="s">
        <v>34</v>
      </c>
      <c r="D9" s="48" t="s">
        <v>35</v>
      </c>
      <c r="E9" s="48" t="s">
        <v>36</v>
      </c>
      <c r="F9" s="101" t="s">
        <v>37</v>
      </c>
      <c r="G9" s="46" t="str">
        <f>VLOOKUP($O4,MFCBoiler,6,FALSE)</f>
        <v>6872 / 7416</v>
      </c>
      <c r="H9" s="46">
        <f>VLOOKUP($O4,MFCBoiler,7,FALSE)</f>
        <v>92</v>
      </c>
      <c r="I9" s="95">
        <f>S26</f>
        <v>100</v>
      </c>
      <c r="J9" s="99">
        <f>VLOOKUP($O4,MFCBoiler,9,FALSE)</f>
        <v>898</v>
      </c>
      <c r="K9" s="100" t="str">
        <f>S27</f>
        <v>150 PSI</v>
      </c>
      <c r="L9" s="46">
        <f>VLOOKUP($O4,MFCBoiler,11,FALSE)</f>
        <v>80</v>
      </c>
      <c r="M9" s="47" t="s">
        <v>38</v>
      </c>
      <c r="N9" s="47" t="s">
        <v>38</v>
      </c>
      <c r="O9" s="46" t="str">
        <f>VLOOKUP($O4,MFCBoiler,14,FALSE)</f>
        <v>53 / 1000</v>
      </c>
      <c r="P9" s="46" t="str">
        <f>VLOOKUP($O4,MFCBoiler,15,FALSE)</f>
        <v>1.1 PSIG @ 800 GPM</v>
      </c>
      <c r="Q9" s="46" t="str">
        <f>VLOOKUP($O4,MFCBoiler,16,FALSE)</f>
        <v>NAT. GAS/
#2 FUEL OIL</v>
      </c>
      <c r="R9" s="46">
        <f>VLOOKUP($O4,MFCBoiler,17,FALSE)</f>
        <v>8000</v>
      </c>
      <c r="S9" s="46" t="str">
        <f>VLOOKUP($O4,MFCBoiler,18,FALSE)</f>
        <v>28 - 56</v>
      </c>
      <c r="T9" s="48" t="str">
        <f>VLOOKUP($O4,MFCBoiler,19,FALSE)</f>
        <v>208/3/60
460/3/60
575/3/60</v>
      </c>
      <c r="U9" s="48" t="str">
        <f>VLOOKUP($O4,MFCBoiler,20,FALSE)</f>
        <v>25.8
11.7
10.2</v>
      </c>
      <c r="V9" s="101" t="str">
        <f>VLOOKUP($O4,MFCBoiler,21,FALSE)</f>
        <v>7.5 / 2.0</v>
      </c>
      <c r="W9" s="46" t="str">
        <f>VLOOKUP($O4,MFCBoiler,22,FALSE)</f>
        <v>220 x 71 x 102</v>
      </c>
      <c r="X9" s="46">
        <f>VLOOKUP($O4,MFCBoiler,23,FALSE)</f>
        <v>24134</v>
      </c>
      <c r="Y9" s="77" t="s">
        <v>39</v>
      </c>
      <c r="Z9" s="46" t="s">
        <v>100</v>
      </c>
      <c r="AA9" s="46" t="s">
        <v>41</v>
      </c>
      <c r="AB9" s="46" t="str">
        <f>VLOOKUP($O4,MFCBoiler,27,FALSE)</f>
        <v>MFC 8000</v>
      </c>
      <c r="AC9" s="68"/>
    </row>
    <row r="10" spans="2:29" ht="16.5" customHeight="1">
      <c r="B10" s="67"/>
      <c r="C10" s="173" t="s">
        <v>42</v>
      </c>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5"/>
      <c r="AC10" s="68"/>
    </row>
    <row r="11" spans="2:29" ht="16.5" customHeight="1">
      <c r="B11" s="67"/>
      <c r="C11" s="169" t="s">
        <v>43</v>
      </c>
      <c r="D11" s="167"/>
      <c r="E11" s="167"/>
      <c r="F11" s="167" t="s">
        <v>101</v>
      </c>
      <c r="G11" s="167"/>
      <c r="H11" s="167"/>
      <c r="I11" s="167" t="s">
        <v>102</v>
      </c>
      <c r="J11" s="167"/>
      <c r="K11" s="167"/>
      <c r="L11" s="167" t="s">
        <v>103</v>
      </c>
      <c r="M11" s="167"/>
      <c r="N11" s="167"/>
      <c r="O11" s="167"/>
      <c r="P11" s="108"/>
      <c r="Q11" s="108"/>
      <c r="R11" s="129"/>
      <c r="S11" s="129"/>
      <c r="T11" s="129"/>
      <c r="U11" s="129"/>
      <c r="V11" s="129"/>
      <c r="W11" s="129"/>
      <c r="X11" s="139"/>
      <c r="Y11" s="139"/>
      <c r="Z11" s="129"/>
      <c r="AA11" s="129"/>
      <c r="AB11" s="52"/>
      <c r="AC11" s="68"/>
    </row>
    <row r="12" spans="2:29" ht="16.5" customHeight="1">
      <c r="B12" s="67"/>
      <c r="C12" s="169" t="str">
        <f>VLOOKUP(O4,MFCBoiler,29,FALSE)</f>
        <v>2. MAX NOX: 40 PPM, 3% O2 CORRECTED</v>
      </c>
      <c r="D12" s="167"/>
      <c r="E12" s="167"/>
      <c r="F12" s="167"/>
      <c r="G12" s="167"/>
      <c r="H12" s="167"/>
      <c r="I12" s="167"/>
      <c r="J12" s="167"/>
      <c r="K12" s="167"/>
      <c r="L12" s="167"/>
      <c r="M12" s="167"/>
      <c r="N12" s="167"/>
      <c r="O12" s="167"/>
      <c r="P12" s="108"/>
      <c r="Q12" s="108"/>
      <c r="R12" s="129"/>
      <c r="S12" s="129"/>
      <c r="T12" s="129"/>
      <c r="U12" s="129"/>
      <c r="V12" s="129"/>
      <c r="W12" s="129"/>
      <c r="X12" s="139"/>
      <c r="Y12" s="139"/>
      <c r="Z12" s="129"/>
      <c r="AA12" s="129"/>
      <c r="AB12" s="52"/>
      <c r="AC12" s="68"/>
    </row>
    <row r="13" spans="2:29" ht="16.5" customHeight="1">
      <c r="B13" s="67"/>
      <c r="C13" s="169" t="s">
        <v>104</v>
      </c>
      <c r="D13" s="167"/>
      <c r="E13" s="167"/>
      <c r="F13" s="167" t="s">
        <v>105</v>
      </c>
      <c r="G13" s="167"/>
      <c r="H13" s="167"/>
      <c r="I13" s="167" t="s">
        <v>106</v>
      </c>
      <c r="J13" s="167"/>
      <c r="K13" s="167"/>
      <c r="L13" s="167" t="s">
        <v>107</v>
      </c>
      <c r="M13" s="167"/>
      <c r="N13" s="167"/>
      <c r="O13" s="167"/>
      <c r="P13" s="108"/>
      <c r="Q13" s="108"/>
      <c r="R13" s="129"/>
      <c r="S13" s="129"/>
      <c r="T13" s="129"/>
      <c r="U13" s="129"/>
      <c r="V13" s="129"/>
      <c r="W13" s="129"/>
      <c r="X13" s="139"/>
      <c r="Y13" s="139"/>
      <c r="Z13" s="129"/>
      <c r="AA13" s="129"/>
      <c r="AB13" s="52"/>
      <c r="AC13" s="68"/>
    </row>
    <row r="14" spans="2:29" ht="15.75" customHeight="1">
      <c r="B14" s="67"/>
      <c r="C14" s="169"/>
      <c r="D14" s="167"/>
      <c r="E14" s="167"/>
      <c r="F14" s="167"/>
      <c r="G14" s="167"/>
      <c r="H14" s="167"/>
      <c r="I14" s="167"/>
      <c r="J14" s="167"/>
      <c r="K14" s="167"/>
      <c r="L14" s="167"/>
      <c r="M14" s="167"/>
      <c r="N14" s="167"/>
      <c r="O14" s="167"/>
      <c r="P14" s="108"/>
      <c r="Q14" s="108"/>
      <c r="R14" s="129"/>
      <c r="S14" s="129"/>
      <c r="T14" s="129"/>
      <c r="U14" s="129"/>
      <c r="V14" s="129"/>
      <c r="W14" s="129"/>
      <c r="X14" s="139"/>
      <c r="Y14" s="139"/>
      <c r="Z14" s="129"/>
      <c r="AA14" s="129"/>
      <c r="AB14" s="52"/>
      <c r="AC14" s="68"/>
    </row>
    <row r="15" spans="2:29" ht="16.5" customHeight="1" thickBot="1">
      <c r="B15" s="67"/>
      <c r="C15" s="172"/>
      <c r="D15" s="168"/>
      <c r="E15" s="168"/>
      <c r="F15" s="130"/>
      <c r="G15" s="130"/>
      <c r="H15" s="130"/>
      <c r="I15" s="168"/>
      <c r="J15" s="168"/>
      <c r="K15" s="168"/>
      <c r="L15" s="140"/>
      <c r="M15" s="140"/>
      <c r="N15" s="140"/>
      <c r="O15" s="140"/>
      <c r="P15" s="140"/>
      <c r="Q15" s="140"/>
      <c r="R15" s="54"/>
      <c r="S15" s="54"/>
      <c r="T15" s="54"/>
      <c r="U15" s="130"/>
      <c r="V15" s="130"/>
      <c r="W15" s="130"/>
      <c r="X15" s="130"/>
      <c r="Y15" s="140"/>
      <c r="Z15" s="130"/>
      <c r="AA15" s="130"/>
      <c r="AB15" s="53"/>
      <c r="AC15" s="68"/>
    </row>
    <row r="16" spans="2:29" ht="16.5" customHeight="1">
      <c r="B16" s="67"/>
      <c r="AC16" s="68"/>
    </row>
    <row r="17" spans="2:29" ht="16.5" customHeight="1">
      <c r="B17" s="67"/>
      <c r="AC17" s="68"/>
    </row>
    <row r="18" spans="2:29">
      <c r="B18" s="67"/>
      <c r="AC18" s="68"/>
    </row>
    <row r="19" spans="2:29">
      <c r="B19" s="67"/>
      <c r="C19" s="163" t="s">
        <v>92</v>
      </c>
      <c r="D19" s="164"/>
      <c r="E19" s="164"/>
      <c r="F19" s="164"/>
      <c r="G19" s="164"/>
      <c r="H19" s="164"/>
      <c r="I19" s="164"/>
      <c r="J19" s="164"/>
      <c r="K19" s="164"/>
      <c r="L19" s="164"/>
      <c r="M19" s="164"/>
      <c r="N19" s="164"/>
      <c r="O19" s="164"/>
      <c r="P19" s="165"/>
      <c r="Q19" s="163" t="s">
        <v>68</v>
      </c>
      <c r="R19" s="166"/>
      <c r="S19" s="166"/>
      <c r="T19" s="166"/>
      <c r="U19" s="166"/>
      <c r="V19" s="166"/>
      <c r="W19" s="166"/>
      <c r="X19" s="166"/>
      <c r="Y19" s="16"/>
      <c r="Z19" s="16"/>
      <c r="AA19" s="16"/>
      <c r="AB19" s="16"/>
      <c r="AC19" s="68"/>
    </row>
    <row r="20" spans="2:29">
      <c r="B20" s="67"/>
      <c r="C20" s="164"/>
      <c r="D20" s="164"/>
      <c r="E20" s="164"/>
      <c r="F20" s="164"/>
      <c r="G20" s="164"/>
      <c r="H20" s="164"/>
      <c r="I20" s="164"/>
      <c r="J20" s="164"/>
      <c r="K20" s="164"/>
      <c r="L20" s="164"/>
      <c r="M20" s="164"/>
      <c r="N20" s="164"/>
      <c r="O20" s="164"/>
      <c r="P20" s="165"/>
      <c r="Q20" s="26"/>
      <c r="Y20" s="16"/>
      <c r="Z20" s="16"/>
      <c r="AA20" s="16"/>
      <c r="AB20" s="16"/>
      <c r="AC20" s="68"/>
    </row>
    <row r="21" spans="2:29">
      <c r="B21" s="67"/>
      <c r="C21" s="164"/>
      <c r="D21" s="164"/>
      <c r="E21" s="164"/>
      <c r="F21" s="164"/>
      <c r="G21" s="164"/>
      <c r="H21" s="164"/>
      <c r="I21" s="164"/>
      <c r="J21" s="164"/>
      <c r="K21" s="164"/>
      <c r="L21" s="164"/>
      <c r="M21" s="164"/>
      <c r="N21" s="164"/>
      <c r="O21" s="164"/>
      <c r="P21" s="165"/>
      <c r="Q21" s="26" t="s">
        <v>69</v>
      </c>
      <c r="Y21" s="16"/>
      <c r="Z21" s="16"/>
      <c r="AA21" s="16"/>
      <c r="AB21" s="16"/>
      <c r="AC21" s="68"/>
    </row>
    <row r="22" spans="2:29">
      <c r="B22" s="67"/>
      <c r="C22" s="164"/>
      <c r="D22" s="164"/>
      <c r="E22" s="164"/>
      <c r="F22" s="164"/>
      <c r="G22" s="164"/>
      <c r="H22" s="164"/>
      <c r="I22" s="164"/>
      <c r="J22" s="164"/>
      <c r="K22" s="164"/>
      <c r="L22" s="164"/>
      <c r="M22" s="164"/>
      <c r="N22" s="164"/>
      <c r="O22" s="164"/>
      <c r="P22" s="165"/>
      <c r="Q22" s="26" t="s">
        <v>70</v>
      </c>
      <c r="Y22" s="16"/>
      <c r="Z22" s="16"/>
      <c r="AA22" s="16"/>
      <c r="AB22" s="16"/>
      <c r="AC22" s="68"/>
    </row>
    <row r="23" spans="2:29">
      <c r="B23" s="67"/>
      <c r="C23" s="164"/>
      <c r="D23" s="164"/>
      <c r="E23" s="164"/>
      <c r="F23" s="164"/>
      <c r="G23" s="164"/>
      <c r="H23" s="164"/>
      <c r="I23" s="164"/>
      <c r="J23" s="164"/>
      <c r="K23" s="164"/>
      <c r="L23" s="164"/>
      <c r="M23" s="164"/>
      <c r="N23" s="164"/>
      <c r="O23" s="164"/>
      <c r="P23" s="165"/>
      <c r="Q23" s="26" t="s">
        <v>71</v>
      </c>
      <c r="Y23" s="16"/>
      <c r="Z23" s="16"/>
      <c r="AA23" s="16"/>
      <c r="AB23" s="16"/>
      <c r="AC23" s="68"/>
    </row>
    <row r="24" spans="2:29">
      <c r="B24" s="67"/>
      <c r="C24" s="164"/>
      <c r="D24" s="164"/>
      <c r="E24" s="164"/>
      <c r="F24" s="164"/>
      <c r="G24" s="164"/>
      <c r="H24" s="164"/>
      <c r="I24" s="164"/>
      <c r="J24" s="164"/>
      <c r="K24" s="164"/>
      <c r="L24" s="164"/>
      <c r="M24" s="164"/>
      <c r="N24" s="164"/>
      <c r="O24" s="164"/>
      <c r="P24" s="165"/>
      <c r="Q24" s="26"/>
      <c r="Y24" s="16"/>
      <c r="Z24" s="16"/>
      <c r="AA24" s="16"/>
      <c r="AB24" s="16"/>
      <c r="AC24" s="68"/>
    </row>
    <row r="25" spans="2:29">
      <c r="B25" s="67"/>
      <c r="C25" s="164"/>
      <c r="D25" s="164"/>
      <c r="E25" s="164"/>
      <c r="F25" s="164"/>
      <c r="G25" s="164"/>
      <c r="H25" s="164"/>
      <c r="I25" s="164"/>
      <c r="J25" s="164"/>
      <c r="K25" s="164"/>
      <c r="L25" s="164"/>
      <c r="M25" s="164"/>
      <c r="N25" s="164"/>
      <c r="O25" s="164"/>
      <c r="P25" s="165"/>
      <c r="Q25" s="21"/>
      <c r="R25" s="22"/>
      <c r="S25" s="22"/>
      <c r="T25" s="22"/>
      <c r="U25" s="22"/>
      <c r="V25" s="22"/>
      <c r="W25" s="22"/>
      <c r="X25" s="22"/>
      <c r="Y25" s="17"/>
      <c r="Z25" s="17"/>
      <c r="AA25" s="17"/>
      <c r="AB25" s="17"/>
      <c r="AC25" s="68"/>
    </row>
    <row r="26" spans="2:29">
      <c r="B26" s="67"/>
      <c r="C26" s="164"/>
      <c r="D26" s="164"/>
      <c r="E26" s="164"/>
      <c r="F26" s="164"/>
      <c r="G26" s="164"/>
      <c r="H26" s="164"/>
      <c r="I26" s="164"/>
      <c r="J26" s="164"/>
      <c r="K26" s="164"/>
      <c r="L26" s="164"/>
      <c r="M26" s="164"/>
      <c r="N26" s="164"/>
      <c r="O26" s="164"/>
      <c r="P26" s="165"/>
      <c r="Q26" s="159" t="s">
        <v>72</v>
      </c>
      <c r="R26" s="160"/>
      <c r="S26" s="96">
        <v>100</v>
      </c>
      <c r="T26" s="160" t="s">
        <v>73</v>
      </c>
      <c r="U26" s="160"/>
      <c r="V26" s="160"/>
      <c r="Y26" s="16"/>
      <c r="Z26" s="16"/>
      <c r="AA26" s="16"/>
      <c r="AB26" s="16"/>
      <c r="AC26" s="68"/>
    </row>
    <row r="27" spans="2:29">
      <c r="B27" s="67"/>
      <c r="C27" s="51"/>
      <c r="D27" s="51"/>
      <c r="E27" s="26"/>
      <c r="F27" s="26"/>
      <c r="G27" s="26"/>
      <c r="H27" s="26"/>
      <c r="I27" s="26"/>
      <c r="J27" s="26"/>
      <c r="K27" s="26"/>
      <c r="L27" s="26"/>
      <c r="M27" s="26"/>
      <c r="N27" s="26"/>
      <c r="O27" s="26"/>
      <c r="Q27" s="159" t="s">
        <v>74</v>
      </c>
      <c r="R27" s="160"/>
      <c r="S27" s="161" t="str">
        <f>INDEX(RVpressure,MATCH(1,RV_MFC,0))&amp;" PSI"</f>
        <v>150 PSI</v>
      </c>
      <c r="T27" s="160"/>
      <c r="U27" s="122">
        <f>IF(S26*120%&lt;=S26+15,S26+15,S26*120%)</f>
        <v>120</v>
      </c>
      <c r="V27" s="97"/>
      <c r="Y27" s="16"/>
      <c r="Z27" s="16"/>
      <c r="AA27" s="16"/>
      <c r="AB27" s="16"/>
      <c r="AC27" s="68"/>
    </row>
    <row r="28" spans="2:29">
      <c r="B28" s="67"/>
      <c r="C28" s="51"/>
      <c r="D28" s="51"/>
      <c r="E28" s="26"/>
      <c r="F28" s="26"/>
      <c r="G28" s="26"/>
      <c r="H28" s="26"/>
      <c r="I28" s="26"/>
      <c r="J28" s="26"/>
      <c r="K28" s="26"/>
      <c r="L28" s="26"/>
      <c r="M28" s="26"/>
      <c r="N28" s="26"/>
      <c r="O28" s="26"/>
      <c r="R28" s="26"/>
      <c r="S28" s="26"/>
      <c r="T28" s="26"/>
      <c r="U28" s="26"/>
      <c r="V28" s="26"/>
      <c r="W28" s="26"/>
      <c r="X28" s="26"/>
      <c r="Y28" s="28"/>
      <c r="Z28" s="28"/>
      <c r="AA28" s="28"/>
      <c r="AB28" s="28"/>
      <c r="AC28" s="68"/>
    </row>
    <row r="29" spans="2:29">
      <c r="B29" s="67"/>
      <c r="C29" s="162"/>
      <c r="D29" s="162"/>
      <c r="E29" s="26"/>
      <c r="F29" s="26"/>
      <c r="G29" s="26"/>
      <c r="H29" s="26"/>
      <c r="I29" s="26"/>
      <c r="J29" s="26"/>
      <c r="K29" s="26"/>
      <c r="L29" s="26"/>
      <c r="M29" s="26"/>
      <c r="N29" s="26"/>
      <c r="O29" s="26"/>
      <c r="Q29" s="26"/>
      <c r="R29" s="26"/>
      <c r="S29" s="26"/>
      <c r="T29" s="26"/>
      <c r="U29" s="26"/>
      <c r="V29" s="26"/>
      <c r="W29" s="26"/>
      <c r="X29" s="26"/>
      <c r="Y29" s="28"/>
      <c r="Z29" s="28"/>
      <c r="AA29" s="28"/>
      <c r="AB29" s="28"/>
      <c r="AC29" s="68"/>
    </row>
    <row r="30" spans="2:29" ht="16.5" thickBot="1">
      <c r="B30" s="69"/>
      <c r="C30" s="70"/>
      <c r="D30" s="70"/>
      <c r="E30" s="71"/>
      <c r="F30" s="71"/>
      <c r="G30" s="71"/>
      <c r="H30" s="71"/>
      <c r="I30" s="71"/>
      <c r="J30" s="71"/>
      <c r="K30" s="71"/>
      <c r="L30" s="71"/>
      <c r="M30" s="71"/>
      <c r="N30" s="71"/>
      <c r="O30" s="71"/>
      <c r="P30" s="70"/>
      <c r="Q30" s="70"/>
      <c r="R30" s="70"/>
      <c r="S30" s="70"/>
      <c r="T30" s="70"/>
      <c r="U30" s="70"/>
      <c r="V30" s="70"/>
      <c r="W30" s="70"/>
      <c r="X30" s="70"/>
      <c r="Y30" s="72"/>
      <c r="Z30" s="72"/>
      <c r="AA30" s="72"/>
      <c r="AB30" s="72"/>
      <c r="AC30" s="74"/>
    </row>
    <row r="31" spans="2:29">
      <c r="C31" s="25"/>
      <c r="D31" s="25"/>
      <c r="E31" s="25"/>
      <c r="F31" s="25"/>
      <c r="G31" s="25"/>
      <c r="H31" s="25"/>
      <c r="I31" s="20"/>
      <c r="J31" s="20"/>
      <c r="K31" s="20"/>
      <c r="L31" s="20"/>
      <c r="M31" s="20"/>
      <c r="N31" s="20"/>
      <c r="O31" s="20"/>
      <c r="Y31" s="16"/>
      <c r="Z31" s="16"/>
      <c r="AA31" s="16"/>
      <c r="AB31" s="16"/>
    </row>
    <row r="32" spans="2:29" ht="15.95" customHeight="1">
      <c r="C32" s="25"/>
      <c r="D32" s="25"/>
      <c r="E32" s="25"/>
      <c r="F32" s="25"/>
      <c r="L32" s="23"/>
      <c r="M32" s="24"/>
      <c r="N32" s="24"/>
    </row>
    <row r="33" spans="3:28">
      <c r="C33" s="25"/>
      <c r="D33" s="25"/>
      <c r="G33" s="44"/>
      <c r="H33" s="44"/>
      <c r="I33" s="44"/>
      <c r="J33" s="44"/>
    </row>
    <row r="34" spans="3:28">
      <c r="C34" s="25"/>
      <c r="D34" s="25"/>
      <c r="E34" s="25"/>
      <c r="F34" s="25"/>
      <c r="G34" s="25"/>
      <c r="H34" s="25"/>
      <c r="L34" s="25"/>
      <c r="M34" s="25"/>
    </row>
    <row r="35" spans="3:28">
      <c r="C35" s="25"/>
      <c r="D35" s="25"/>
      <c r="E35" s="25"/>
      <c r="F35" s="25"/>
      <c r="G35" s="25"/>
      <c r="H35" s="25"/>
      <c r="L35" s="25"/>
      <c r="M35" s="25"/>
      <c r="Q35" s="25"/>
      <c r="U35" s="25"/>
      <c r="V35" s="19"/>
      <c r="W35" s="19"/>
      <c r="X35" s="25"/>
      <c r="Y35" s="25"/>
      <c r="Z35" s="25"/>
      <c r="AA35" s="25"/>
      <c r="AB35" s="25"/>
    </row>
    <row r="36" spans="3:28">
      <c r="C36" s="25"/>
      <c r="G36" s="19"/>
      <c r="H36" s="19"/>
      <c r="I36" s="19"/>
      <c r="J36" s="19"/>
      <c r="K36" s="25"/>
      <c r="L36" s="25"/>
      <c r="M36" s="25"/>
      <c r="N36" s="24"/>
      <c r="O36" s="25"/>
      <c r="P36" s="25"/>
      <c r="Q36" s="25"/>
      <c r="R36" s="25"/>
      <c r="S36" s="19"/>
      <c r="T36" s="19"/>
      <c r="U36" s="19"/>
      <c r="V36" s="19"/>
      <c r="W36" s="19"/>
      <c r="X36" s="25"/>
      <c r="Y36" s="25"/>
      <c r="Z36" s="25"/>
      <c r="AA36" s="25"/>
      <c r="AB36" s="25"/>
    </row>
    <row r="37" spans="3:28">
      <c r="C37" s="25"/>
      <c r="D37" s="19"/>
      <c r="E37" s="19"/>
      <c r="F37" s="19"/>
      <c r="O37" s="25"/>
      <c r="P37" s="25"/>
      <c r="Q37" s="25"/>
      <c r="R37" s="19"/>
      <c r="S37" s="19"/>
      <c r="T37" s="19"/>
      <c r="U37" s="19"/>
      <c r="V37" s="19"/>
      <c r="W37" s="19"/>
      <c r="X37" s="25"/>
      <c r="Y37" s="25"/>
      <c r="Z37" s="25"/>
      <c r="AA37" s="25"/>
      <c r="AB37" s="25"/>
    </row>
    <row r="38" spans="3:28">
      <c r="C38" s="19"/>
      <c r="D38" s="19"/>
      <c r="E38" s="19"/>
      <c r="F38" s="19"/>
    </row>
    <row r="39" spans="3:28">
      <c r="C39" s="19"/>
      <c r="D39" s="19"/>
      <c r="E39" s="44"/>
      <c r="F39" s="44"/>
      <c r="G39" s="40"/>
      <c r="H39" s="40"/>
      <c r="I39" s="40"/>
      <c r="J39" s="43"/>
      <c r="K39" s="43"/>
      <c r="L39" s="43"/>
      <c r="M39" s="44"/>
      <c r="N39" s="44"/>
      <c r="O39" s="44"/>
      <c r="P39" s="45"/>
      <c r="Q39" s="45"/>
      <c r="R39" s="45"/>
      <c r="S39" s="44"/>
      <c r="T39" s="44"/>
      <c r="U39" s="44"/>
      <c r="V39" s="44"/>
      <c r="W39" s="44"/>
      <c r="X39" s="44"/>
      <c r="Y39" s="44"/>
      <c r="Z39" s="44"/>
      <c r="AA39" s="44"/>
      <c r="AB39" s="44"/>
    </row>
    <row r="40" spans="3:28">
      <c r="E40" s="45"/>
      <c r="F40" s="45"/>
      <c r="G40" s="45"/>
      <c r="H40" s="45"/>
      <c r="I40" s="45"/>
      <c r="J40" s="44"/>
      <c r="K40" s="44"/>
      <c r="L40" s="44"/>
      <c r="M40" s="44"/>
      <c r="N40" s="44"/>
      <c r="O40" s="44"/>
      <c r="P40" s="45"/>
      <c r="Q40" s="45"/>
      <c r="R40" s="45"/>
      <c r="S40" s="44"/>
      <c r="T40" s="44"/>
      <c r="U40" s="44"/>
      <c r="V40" s="44"/>
      <c r="W40" s="44"/>
      <c r="X40" s="44"/>
      <c r="Y40" s="44"/>
      <c r="Z40" s="44"/>
      <c r="AA40" s="44"/>
      <c r="AB40" s="44"/>
    </row>
    <row r="41" spans="3:28">
      <c r="C41" s="23"/>
      <c r="D41" s="24"/>
      <c r="E41" s="44"/>
      <c r="F41" s="44"/>
      <c r="G41" s="44"/>
      <c r="H41" s="44"/>
      <c r="I41" s="44"/>
      <c r="J41" s="44"/>
      <c r="K41" s="44"/>
      <c r="L41" s="44"/>
      <c r="M41" s="44"/>
      <c r="N41" s="44"/>
      <c r="O41" s="44"/>
      <c r="P41" s="44"/>
      <c r="Q41" s="44"/>
      <c r="R41" s="44"/>
      <c r="S41" s="44"/>
      <c r="T41" s="44"/>
      <c r="U41" s="44"/>
      <c r="V41" s="44"/>
      <c r="W41" s="44"/>
      <c r="X41" s="44"/>
      <c r="Y41" s="44"/>
      <c r="Z41" s="44"/>
      <c r="AA41" s="44"/>
      <c r="AB41" s="44"/>
    </row>
    <row r="42" spans="3:28">
      <c r="E42" s="44"/>
      <c r="F42" s="44"/>
      <c r="G42" s="44"/>
      <c r="H42" s="44"/>
      <c r="I42" s="44"/>
      <c r="J42" s="44"/>
      <c r="K42" s="44"/>
      <c r="L42" s="44"/>
      <c r="M42" s="44"/>
      <c r="N42" s="44"/>
      <c r="O42" s="44"/>
      <c r="P42" s="44"/>
      <c r="Q42" s="44"/>
      <c r="R42" s="44"/>
      <c r="S42" s="44"/>
      <c r="T42" s="44"/>
      <c r="U42" s="44"/>
      <c r="V42" s="44"/>
      <c r="W42" s="44"/>
      <c r="X42" s="44"/>
      <c r="Y42" s="44"/>
      <c r="Z42" s="44"/>
      <c r="AA42" s="44"/>
      <c r="AB42" s="44"/>
    </row>
    <row r="43" spans="3:28">
      <c r="C43" s="23"/>
      <c r="D43" s="24"/>
      <c r="E43" s="24"/>
      <c r="F43" s="24"/>
    </row>
    <row r="46" spans="3:28">
      <c r="C46" s="25"/>
      <c r="D46" s="19"/>
      <c r="E46" s="19"/>
      <c r="F46" s="19"/>
      <c r="G46" s="25"/>
      <c r="H46" s="25"/>
      <c r="I46" s="25"/>
      <c r="J46" s="25"/>
      <c r="K46" s="25"/>
      <c r="L46" s="25"/>
      <c r="M46" s="19"/>
      <c r="N46" s="19"/>
      <c r="O46" s="19"/>
      <c r="P46" s="25"/>
      <c r="Q46" s="19"/>
      <c r="R46" s="19"/>
      <c r="S46" s="19"/>
    </row>
    <row r="47" spans="3:28">
      <c r="C47" s="25"/>
      <c r="D47" s="19"/>
      <c r="E47" s="19"/>
      <c r="F47" s="19"/>
      <c r="G47" s="25"/>
      <c r="H47" s="25"/>
      <c r="I47" s="25"/>
      <c r="J47" s="25"/>
      <c r="K47" s="25"/>
      <c r="L47" s="25"/>
      <c r="M47" s="19"/>
      <c r="N47" s="19"/>
      <c r="O47" s="19"/>
      <c r="P47" s="19"/>
      <c r="Q47" s="19"/>
      <c r="R47" s="19"/>
      <c r="S47" s="19"/>
    </row>
    <row r="48" spans="3:28">
      <c r="C48" s="25"/>
      <c r="D48" s="19"/>
      <c r="E48" s="19"/>
      <c r="F48" s="19"/>
      <c r="G48" s="25"/>
      <c r="H48" s="25"/>
      <c r="I48" s="25"/>
      <c r="J48" s="25"/>
      <c r="K48" s="25"/>
      <c r="L48" s="25"/>
      <c r="M48" s="19"/>
      <c r="N48" s="19"/>
      <c r="O48" s="19"/>
      <c r="P48" s="19"/>
      <c r="Q48" s="19"/>
      <c r="R48" s="19"/>
      <c r="S48" s="19"/>
    </row>
  </sheetData>
  <sheetProtection algorithmName="SHA-512" hashValue="2qC0DJMza5w3ocaTCiiNQADSNJR3PiylT2tBj5h+w64VHvFVPoj4svzB/gsB+fE357hBUAJ+aND7ATqSQ651hQ==" saltValue="idIpOzC5nEcQR3w22AGSvA==" spinCount="100000" sheet="1" objects="1" scenarios="1"/>
  <mergeCells count="26">
    <mergeCell ref="O2:S2"/>
    <mergeCell ref="O4:S4"/>
    <mergeCell ref="C6:E6"/>
    <mergeCell ref="G6:Z6"/>
    <mergeCell ref="I7:P7"/>
    <mergeCell ref="Q7:S7"/>
    <mergeCell ref="T7:V7"/>
    <mergeCell ref="C10:AB10"/>
    <mergeCell ref="C11:E11"/>
    <mergeCell ref="C12:E12"/>
    <mergeCell ref="I11:K12"/>
    <mergeCell ref="F13:H14"/>
    <mergeCell ref="I13:K14"/>
    <mergeCell ref="L11:O12"/>
    <mergeCell ref="L13:O14"/>
    <mergeCell ref="S27:T27"/>
    <mergeCell ref="F11:H12"/>
    <mergeCell ref="I15:K15"/>
    <mergeCell ref="C29:D29"/>
    <mergeCell ref="C15:E15"/>
    <mergeCell ref="C13:E14"/>
    <mergeCell ref="C19:P26"/>
    <mergeCell ref="Q19:X19"/>
    <mergeCell ref="Q26:R26"/>
    <mergeCell ref="T26:V26"/>
    <mergeCell ref="Q27:R27"/>
  </mergeCells>
  <conditionalFormatting sqref="R11">
    <cfRule type="expression" dxfId="21" priority="2">
      <formula>AND($Q$9&lt;3000)=TRUE</formula>
    </cfRule>
  </conditionalFormatting>
  <conditionalFormatting sqref="T9">
    <cfRule type="containsText" dxfId="20" priority="8" operator="containsText" text="460">
      <formula>NOT(ISERROR(SEARCH("460",T9)))</formula>
    </cfRule>
  </conditionalFormatting>
  <conditionalFormatting sqref="U9">
    <cfRule type="containsText" dxfId="19" priority="6" operator="containsText" text="19">
      <formula>NOT(ISERROR(SEARCH("19",U9)))</formula>
    </cfRule>
    <cfRule type="containsText" dxfId="18" priority="7" operator="containsText" text="10">
      <formula>NOT(ISERROR(SEARCH("10",U9)))</formula>
    </cfRule>
  </conditionalFormatting>
  <conditionalFormatting sqref="V39">
    <cfRule type="expression" dxfId="17" priority="3">
      <formula>AND($R$9&lt;3000)=TRUE</formula>
    </cfRule>
  </conditionalFormatting>
  <conditionalFormatting sqref="Y9">
    <cfRule type="containsText" dxfId="16" priority="1" operator="containsText" text="3">
      <formula>NOT(ISERROR(SEARCH("3",Y9)))</formula>
    </cfRule>
  </conditionalFormatting>
  <conditionalFormatting sqref="Z11 V41">
    <cfRule type="expression" dxfId="15" priority="4">
      <formula>AND($R$9&lt;3000)=TRUE</formula>
    </cfRule>
  </conditionalFormatting>
  <dataValidations count="1">
    <dataValidation type="list" allowBlank="1" showInputMessage="1" showErrorMessage="1" sqref="O4:S4" xr:uid="{00000000-0002-0000-0200-000000000000}">
      <formula1>MFC</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tint="0.39997558519241921"/>
    <pageSetUpPr autoPageBreaks="0"/>
  </sheetPr>
  <dimension ref="B1:AC29"/>
  <sheetViews>
    <sheetView topLeftCell="G8" workbookViewId="0">
      <selection activeCell="C14" sqref="C14:E15"/>
    </sheetView>
  </sheetViews>
  <sheetFormatPr defaultColWidth="10.875" defaultRowHeight="15.75"/>
  <cols>
    <col min="1" max="2" width="2.625" customWidth="1"/>
    <col min="7" max="7" width="11.625" customWidth="1"/>
    <col min="28" max="28" width="2.625" customWidth="1"/>
  </cols>
  <sheetData>
    <row r="1" spans="2:29" ht="16.5" thickBot="1">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row>
    <row r="2" spans="2:29" ht="24" thickTop="1">
      <c r="B2" s="37"/>
      <c r="C2" s="39"/>
      <c r="D2" s="39"/>
      <c r="E2" s="39"/>
      <c r="F2" s="39"/>
      <c r="G2" s="39"/>
      <c r="H2" s="39"/>
      <c r="I2" s="39"/>
      <c r="J2" s="39"/>
      <c r="K2" s="39"/>
      <c r="L2" s="39"/>
      <c r="M2" s="39"/>
      <c r="N2" s="200" t="s">
        <v>108</v>
      </c>
      <c r="O2" s="201"/>
      <c r="P2" s="201"/>
      <c r="Q2" s="201"/>
      <c r="R2" s="201"/>
      <c r="S2" s="39"/>
      <c r="T2" s="39"/>
      <c r="U2" s="39"/>
      <c r="V2" s="39"/>
      <c r="W2" s="39"/>
      <c r="X2" s="39"/>
      <c r="Y2" s="39"/>
      <c r="Z2" s="197" t="s">
        <v>109</v>
      </c>
      <c r="AA2" s="198"/>
      <c r="AB2" s="199"/>
    </row>
    <row r="3" spans="2:29">
      <c r="B3" s="29"/>
      <c r="AB3" s="30"/>
    </row>
    <row r="4" spans="2:29" ht="18.95" customHeight="1">
      <c r="B4" s="29"/>
      <c r="M4" s="136" t="s">
        <v>2</v>
      </c>
      <c r="N4" s="180" t="s">
        <v>110</v>
      </c>
      <c r="O4" s="181"/>
      <c r="P4" s="181"/>
      <c r="Q4" s="181"/>
      <c r="R4" s="181"/>
      <c r="AB4" s="30"/>
    </row>
    <row r="5" spans="2:29" ht="16.5" thickBot="1">
      <c r="B5" s="29"/>
      <c r="AB5" s="30"/>
    </row>
    <row r="6" spans="2:29" ht="18" customHeight="1" thickBot="1">
      <c r="B6" s="29"/>
      <c r="C6" s="202" t="s">
        <v>4</v>
      </c>
      <c r="D6" s="203"/>
      <c r="E6" s="203"/>
      <c r="F6" s="203"/>
      <c r="G6" s="203"/>
      <c r="H6" s="203"/>
      <c r="I6" s="203"/>
      <c r="J6" s="203"/>
      <c r="K6" s="203"/>
      <c r="L6" s="203"/>
      <c r="M6" s="203"/>
      <c r="N6" s="203"/>
      <c r="O6" s="203"/>
      <c r="P6" s="203"/>
      <c r="Q6" s="203"/>
      <c r="R6" s="203"/>
      <c r="S6" s="203"/>
      <c r="T6" s="203"/>
      <c r="U6" s="203"/>
      <c r="V6" s="203"/>
      <c r="W6" s="203"/>
      <c r="X6" s="203"/>
      <c r="Y6" s="203"/>
      <c r="Z6" s="203"/>
      <c r="AA6" s="204"/>
      <c r="AB6" s="89"/>
      <c r="AC6" s="18"/>
    </row>
    <row r="7" spans="2:29" ht="15.75" customHeight="1" thickBot="1">
      <c r="B7" s="29"/>
      <c r="C7" s="56"/>
      <c r="D7" s="56"/>
      <c r="E7" s="56"/>
      <c r="F7" s="56"/>
      <c r="G7" s="56"/>
      <c r="H7" s="56"/>
      <c r="I7" s="56"/>
      <c r="J7" s="202" t="s">
        <v>5</v>
      </c>
      <c r="K7" s="203"/>
      <c r="L7" s="203"/>
      <c r="M7" s="203"/>
      <c r="N7" s="203"/>
      <c r="O7" s="203"/>
      <c r="P7" s="203"/>
      <c r="Q7" s="204"/>
      <c r="R7" s="202" t="s">
        <v>6</v>
      </c>
      <c r="S7" s="203"/>
      <c r="T7" s="204"/>
      <c r="U7" s="202" t="s">
        <v>7</v>
      </c>
      <c r="V7" s="203"/>
      <c r="W7" s="115"/>
      <c r="X7" s="115"/>
      <c r="Y7" s="115"/>
      <c r="Z7" s="115"/>
      <c r="AA7" s="8"/>
      <c r="AB7" s="90"/>
      <c r="AC7" s="18"/>
    </row>
    <row r="8" spans="2:29" ht="42.95" customHeight="1" thickBot="1">
      <c r="B8" s="29"/>
      <c r="C8" s="116" t="s">
        <v>8</v>
      </c>
      <c r="D8" s="116" t="s">
        <v>9</v>
      </c>
      <c r="E8" s="116" t="s">
        <v>10</v>
      </c>
      <c r="F8" s="42" t="s">
        <v>11</v>
      </c>
      <c r="G8" s="116" t="s">
        <v>111</v>
      </c>
      <c r="H8" s="116" t="s">
        <v>112</v>
      </c>
      <c r="I8" s="42" t="s">
        <v>13</v>
      </c>
      <c r="J8" s="110" t="s">
        <v>14</v>
      </c>
      <c r="K8" s="111" t="s">
        <v>15</v>
      </c>
      <c r="L8" s="110" t="s">
        <v>16</v>
      </c>
      <c r="M8" s="110" t="s">
        <v>17</v>
      </c>
      <c r="N8" s="110" t="s">
        <v>113</v>
      </c>
      <c r="O8" s="110" t="s">
        <v>19</v>
      </c>
      <c r="P8" s="110" t="s">
        <v>20</v>
      </c>
      <c r="Q8" s="110" t="s">
        <v>114</v>
      </c>
      <c r="R8" s="110" t="s">
        <v>22</v>
      </c>
      <c r="S8" s="110" t="s">
        <v>23</v>
      </c>
      <c r="T8" s="110" t="s">
        <v>115</v>
      </c>
      <c r="U8" s="110" t="s">
        <v>25</v>
      </c>
      <c r="V8" s="110" t="s">
        <v>26</v>
      </c>
      <c r="W8" s="112" t="s">
        <v>116</v>
      </c>
      <c r="X8" s="112" t="s">
        <v>29</v>
      </c>
      <c r="Y8" s="57" t="s">
        <v>30</v>
      </c>
      <c r="Z8" s="57" t="s">
        <v>32</v>
      </c>
      <c r="AA8" s="57" t="s">
        <v>33</v>
      </c>
      <c r="AB8" s="91"/>
      <c r="AC8" s="11"/>
    </row>
    <row r="9" spans="2:29" ht="28.5" customHeight="1" thickBot="1">
      <c r="B9" s="29"/>
      <c r="C9" s="117" t="s">
        <v>34</v>
      </c>
      <c r="D9" s="117" t="s">
        <v>35</v>
      </c>
      <c r="E9" s="117" t="s">
        <v>36</v>
      </c>
      <c r="F9" s="118" t="s">
        <v>117</v>
      </c>
      <c r="G9" s="111" t="str">
        <f>VLOOKUP($N4,AMboiler,6,FALSE)</f>
        <v>874 / 971</v>
      </c>
      <c r="H9" s="111">
        <f>VLOOKUP($N4,AMboiler,7,FALSE)</f>
        <v>4</v>
      </c>
      <c r="I9" s="111">
        <f>VLOOKUP($N4,AMboiler,8,FALSE)</f>
        <v>93.8</v>
      </c>
      <c r="J9" s="119" t="s">
        <v>38</v>
      </c>
      <c r="K9" s="111">
        <f>VLOOKUP($N4,AMboiler,10,FALSE)</f>
        <v>9</v>
      </c>
      <c r="L9" s="111">
        <f>VLOOKUP($N4,AMboiler,11,FALSE)</f>
        <v>50</v>
      </c>
      <c r="M9" s="111">
        <f>VLOOKUP($N4,AMboiler,12,FALSE)</f>
        <v>160</v>
      </c>
      <c r="N9" s="119" t="s">
        <v>38</v>
      </c>
      <c r="O9" s="119" t="s">
        <v>38</v>
      </c>
      <c r="P9" s="111" t="str">
        <f>VLOOKUP($N4,AMboiler,15,FALSE)</f>
        <v>18 / 80</v>
      </c>
      <c r="Q9" s="111">
        <f>VLOOKUP($N4,AMboiler,16,FALSE)</f>
        <v>47</v>
      </c>
      <c r="R9" s="111" t="str">
        <f>VLOOKUP($N4,AMboiler,17,FALSE)</f>
        <v>NATURAL GAS</v>
      </c>
      <c r="S9" s="111">
        <f>VLOOKUP($N4,AMboiler,18,FALSE)</f>
        <v>1000</v>
      </c>
      <c r="T9" s="111" t="str">
        <f>VLOOKUP($N4,AMboiler,19,FALSE)</f>
        <v>3 / 13</v>
      </c>
      <c r="U9" s="111" t="str">
        <f>VLOOKUP($N4,AMboiler,20,FALSE)</f>
        <v>120/1/60</v>
      </c>
      <c r="V9" s="111">
        <f>VLOOKUP($N4,AMboiler,21,FALSE)</f>
        <v>4.9000000000000004</v>
      </c>
      <c r="W9" s="111" t="str">
        <f>VLOOKUP($N4,AMboiler,22,FALSE)</f>
        <v>35.3 X 23.6 X 71.3</v>
      </c>
      <c r="X9" s="111">
        <f>VLOOKUP($N4,AMboiler,23,FALSE)</f>
        <v>615</v>
      </c>
      <c r="Y9" s="111" t="str">
        <f>VLOOKUP($N4,AMboiler,24,FALSE)</f>
        <v>CSA/CSD-1</v>
      </c>
      <c r="Z9" s="111" t="str">
        <f>VLOOKUP($N4,AMboiler,25,FALSE)</f>
        <v>AERCO</v>
      </c>
      <c r="AA9" s="111" t="str">
        <f>VLOOKUP($N4,AMboiler,26,FALSE)</f>
        <v>AM 1000</v>
      </c>
      <c r="AB9" s="30"/>
    </row>
    <row r="10" spans="2:29" ht="15.95" customHeight="1">
      <c r="B10" s="29"/>
      <c r="C10" s="93" t="s">
        <v>42</v>
      </c>
      <c r="D10" s="94"/>
      <c r="E10" s="94"/>
      <c r="F10" s="94"/>
      <c r="G10" s="94"/>
      <c r="H10" s="94"/>
      <c r="I10" s="94"/>
      <c r="J10" s="94"/>
      <c r="K10" s="94"/>
      <c r="L10" s="94"/>
      <c r="M10" s="94"/>
      <c r="N10" s="94"/>
      <c r="O10" s="94"/>
      <c r="P10" s="94"/>
      <c r="Q10" s="94"/>
      <c r="R10" s="94"/>
      <c r="S10" s="94"/>
      <c r="T10" s="94"/>
      <c r="U10" s="94"/>
      <c r="V10" s="94"/>
      <c r="W10" s="94"/>
      <c r="X10" s="94"/>
      <c r="Y10" s="94"/>
      <c r="Z10" s="94"/>
      <c r="AA10" s="142"/>
      <c r="AB10" s="92"/>
    </row>
    <row r="11" spans="2:29" ht="15.75" customHeight="1">
      <c r="B11" s="29"/>
      <c r="C11" s="169" t="s">
        <v>118</v>
      </c>
      <c r="D11" s="167"/>
      <c r="E11" s="167"/>
      <c r="F11" s="167" t="s">
        <v>119</v>
      </c>
      <c r="G11" s="167"/>
      <c r="H11" s="167"/>
      <c r="I11" s="167" t="s">
        <v>120</v>
      </c>
      <c r="J11" s="167"/>
      <c r="K11" s="167"/>
      <c r="L11" s="196" t="s">
        <v>121</v>
      </c>
      <c r="M11" s="196"/>
      <c r="N11" s="196"/>
      <c r="O11" s="196"/>
      <c r="P11" s="125"/>
      <c r="Q11" s="108"/>
      <c r="R11" s="108"/>
      <c r="S11" s="108"/>
      <c r="T11" s="129"/>
      <c r="U11" s="129"/>
      <c r="V11" s="129"/>
      <c r="W11" s="129"/>
      <c r="X11" s="129"/>
      <c r="Y11" s="129"/>
      <c r="Z11" s="102"/>
      <c r="AA11" s="142"/>
      <c r="AB11" s="92"/>
    </row>
    <row r="12" spans="2:29" ht="15" customHeight="1">
      <c r="B12" s="29"/>
      <c r="C12" s="169" t="str">
        <f>VLOOKUP($N4,AMboiler,28,FALSE)</f>
        <v>2. MINIMUM TURNDOWN: 20:1</v>
      </c>
      <c r="D12" s="167"/>
      <c r="E12" s="167"/>
      <c r="F12" s="167"/>
      <c r="G12" s="167"/>
      <c r="H12" s="167"/>
      <c r="I12" s="167"/>
      <c r="J12" s="167"/>
      <c r="K12" s="167"/>
      <c r="L12" s="196"/>
      <c r="M12" s="196"/>
      <c r="N12" s="196"/>
      <c r="O12" s="196"/>
      <c r="P12" s="125"/>
      <c r="Q12" s="108"/>
      <c r="R12" s="108"/>
      <c r="S12" s="108"/>
      <c r="T12" s="129"/>
      <c r="U12" s="129"/>
      <c r="V12" s="129"/>
      <c r="W12" s="129"/>
      <c r="X12" s="129"/>
      <c r="Y12" s="129"/>
      <c r="Z12" s="102"/>
      <c r="AA12" s="142"/>
      <c r="AB12" s="92"/>
    </row>
    <row r="13" spans="2:29" ht="16.5" customHeight="1">
      <c r="B13" s="29"/>
      <c r="C13" s="169" t="s">
        <v>122</v>
      </c>
      <c r="D13" s="167"/>
      <c r="E13" s="167"/>
      <c r="F13" s="167" t="s">
        <v>123</v>
      </c>
      <c r="G13" s="167"/>
      <c r="H13" s="167"/>
      <c r="I13" s="167" t="s">
        <v>124</v>
      </c>
      <c r="J13" s="167"/>
      <c r="K13" s="167"/>
      <c r="L13" s="193" t="s">
        <v>125</v>
      </c>
      <c r="M13" s="193"/>
      <c r="N13" s="193"/>
      <c r="O13" s="193"/>
      <c r="P13" s="125"/>
      <c r="Q13" s="129"/>
      <c r="R13" s="129"/>
      <c r="S13" s="129"/>
      <c r="T13" s="129"/>
      <c r="U13" s="129"/>
      <c r="V13" s="129"/>
      <c r="W13" s="125"/>
      <c r="X13" s="125"/>
      <c r="Y13" s="125"/>
      <c r="Z13" s="102"/>
      <c r="AA13" s="143"/>
      <c r="AB13" s="30"/>
    </row>
    <row r="14" spans="2:29" ht="12.75" customHeight="1">
      <c r="B14" s="29"/>
      <c r="C14" s="192" t="s">
        <v>52</v>
      </c>
      <c r="D14" s="193"/>
      <c r="E14" s="193"/>
      <c r="F14" s="193" t="s">
        <v>126</v>
      </c>
      <c r="G14" s="193"/>
      <c r="H14" s="193"/>
      <c r="I14" s="167"/>
      <c r="J14" s="167"/>
      <c r="K14" s="167"/>
      <c r="L14" s="193"/>
      <c r="M14" s="193"/>
      <c r="N14" s="193"/>
      <c r="O14" s="193"/>
      <c r="P14" s="139"/>
      <c r="Q14" s="129"/>
      <c r="R14" s="139"/>
      <c r="S14" s="139"/>
      <c r="T14" s="139"/>
      <c r="U14" s="139"/>
      <c r="V14" s="139"/>
      <c r="W14" s="139"/>
      <c r="X14" s="139"/>
      <c r="Y14" s="139"/>
      <c r="Z14" s="139"/>
      <c r="AA14" s="143"/>
      <c r="AB14" s="30"/>
    </row>
    <row r="15" spans="2:29" ht="12.75" customHeight="1" thickBot="1">
      <c r="B15" s="29"/>
      <c r="C15" s="194"/>
      <c r="D15" s="195"/>
      <c r="E15" s="195"/>
      <c r="F15" s="195"/>
      <c r="G15" s="195"/>
      <c r="H15" s="195"/>
      <c r="I15" s="168"/>
      <c r="J15" s="168"/>
      <c r="K15" s="168"/>
      <c r="L15" s="195"/>
      <c r="M15" s="195"/>
      <c r="N15" s="195"/>
      <c r="O15" s="195"/>
      <c r="P15" s="140"/>
      <c r="Q15" s="140"/>
      <c r="R15" s="140"/>
      <c r="S15" s="140"/>
      <c r="T15" s="140"/>
      <c r="U15" s="140"/>
      <c r="V15" s="140"/>
      <c r="W15" s="140"/>
      <c r="X15" s="140"/>
      <c r="Y15" s="140"/>
      <c r="Z15" s="140"/>
      <c r="AA15" s="144"/>
      <c r="AB15" s="30"/>
    </row>
    <row r="16" spans="2:29" ht="15.95" customHeight="1">
      <c r="B16" s="29"/>
      <c r="AA16" s="16"/>
      <c r="AB16" s="31"/>
      <c r="AC16" s="16"/>
    </row>
    <row r="17" spans="2:29">
      <c r="B17" s="29"/>
      <c r="C17" s="163" t="s">
        <v>127</v>
      </c>
      <c r="D17" s="164"/>
      <c r="E17" s="164"/>
      <c r="F17" s="164"/>
      <c r="G17" s="164"/>
      <c r="H17" s="164"/>
      <c r="I17" s="164"/>
      <c r="J17" s="164"/>
      <c r="K17" s="164"/>
      <c r="L17" s="164"/>
      <c r="M17" s="164"/>
      <c r="N17" s="164"/>
      <c r="O17" s="164"/>
      <c r="P17" s="165"/>
      <c r="Q17" s="191" t="s">
        <v>128</v>
      </c>
      <c r="R17" s="165"/>
      <c r="S17" s="165"/>
      <c r="T17" s="165"/>
      <c r="U17" s="165"/>
      <c r="V17" s="165"/>
      <c r="W17" s="165"/>
      <c r="X17" s="165"/>
      <c r="Y17" s="16"/>
      <c r="Z17" s="16"/>
      <c r="AA17" s="16"/>
      <c r="AB17" s="31"/>
      <c r="AC17" s="16"/>
    </row>
    <row r="18" spans="2:29">
      <c r="B18" s="29"/>
      <c r="C18" s="164"/>
      <c r="D18" s="164"/>
      <c r="E18" s="164"/>
      <c r="F18" s="164"/>
      <c r="G18" s="164"/>
      <c r="H18" s="164"/>
      <c r="I18" s="164"/>
      <c r="J18" s="164"/>
      <c r="K18" s="164"/>
      <c r="L18" s="164"/>
      <c r="M18" s="164"/>
      <c r="N18" s="164"/>
      <c r="O18" s="164"/>
      <c r="P18" s="165"/>
      <c r="Q18" s="26"/>
      <c r="Y18" s="16"/>
      <c r="Z18" s="16"/>
      <c r="AA18" s="16"/>
      <c r="AB18" s="31"/>
      <c r="AC18" s="16"/>
    </row>
    <row r="19" spans="2:29">
      <c r="B19" s="29"/>
      <c r="C19" s="164"/>
      <c r="D19" s="164"/>
      <c r="E19" s="164"/>
      <c r="F19" s="164"/>
      <c r="G19" s="164"/>
      <c r="H19" s="164"/>
      <c r="I19" s="164"/>
      <c r="J19" s="164"/>
      <c r="K19" s="164"/>
      <c r="L19" s="164"/>
      <c r="M19" s="164"/>
      <c r="N19" s="164"/>
      <c r="O19" s="164"/>
      <c r="P19" s="165"/>
      <c r="Q19" s="26" t="s">
        <v>69</v>
      </c>
      <c r="Y19" s="16"/>
      <c r="Z19" s="16"/>
      <c r="AA19" s="16"/>
      <c r="AB19" s="31"/>
      <c r="AC19" s="16"/>
    </row>
    <row r="20" spans="2:29">
      <c r="B20" s="29"/>
      <c r="C20" s="164"/>
      <c r="D20" s="164"/>
      <c r="E20" s="164"/>
      <c r="F20" s="164"/>
      <c r="G20" s="164"/>
      <c r="H20" s="164"/>
      <c r="I20" s="164"/>
      <c r="J20" s="164"/>
      <c r="K20" s="164"/>
      <c r="L20" s="164"/>
      <c r="M20" s="164"/>
      <c r="N20" s="164"/>
      <c r="O20" s="164"/>
      <c r="P20" s="165"/>
      <c r="Q20" s="26" t="s">
        <v>129</v>
      </c>
      <c r="Y20" s="16"/>
      <c r="Z20" s="16"/>
      <c r="AA20" s="17"/>
      <c r="AB20" s="31"/>
      <c r="AC20" s="16"/>
    </row>
    <row r="21" spans="2:29">
      <c r="B21" s="29"/>
      <c r="C21" s="164"/>
      <c r="D21" s="164"/>
      <c r="E21" s="164"/>
      <c r="F21" s="164"/>
      <c r="G21" s="164"/>
      <c r="H21" s="164"/>
      <c r="I21" s="164"/>
      <c r="J21" s="164"/>
      <c r="K21" s="164"/>
      <c r="L21" s="164"/>
      <c r="M21" s="164"/>
      <c r="N21" s="164"/>
      <c r="O21" s="164"/>
      <c r="P21" s="165"/>
      <c r="Q21" s="26" t="s">
        <v>71</v>
      </c>
      <c r="Y21" s="16"/>
      <c r="Z21" s="16"/>
      <c r="AA21" s="16"/>
      <c r="AB21" s="31"/>
      <c r="AC21" s="16"/>
    </row>
    <row r="22" spans="2:29">
      <c r="B22" s="29"/>
      <c r="C22" s="164"/>
      <c r="D22" s="164"/>
      <c r="E22" s="164"/>
      <c r="F22" s="164"/>
      <c r="G22" s="164"/>
      <c r="H22" s="164"/>
      <c r="I22" s="164"/>
      <c r="J22" s="164"/>
      <c r="K22" s="164"/>
      <c r="L22" s="164"/>
      <c r="M22" s="164"/>
      <c r="N22" s="164"/>
      <c r="O22" s="164"/>
      <c r="P22" s="165"/>
      <c r="Q22" s="26"/>
      <c r="Y22" s="16"/>
      <c r="Z22" s="16"/>
      <c r="AA22" s="16"/>
      <c r="AB22" s="32"/>
      <c r="AC22" s="17"/>
    </row>
    <row r="23" spans="2:29">
      <c r="B23" s="29"/>
      <c r="C23" s="164"/>
      <c r="D23" s="164"/>
      <c r="E23" s="164"/>
      <c r="F23" s="164"/>
      <c r="G23" s="164"/>
      <c r="H23" s="164"/>
      <c r="I23" s="164"/>
      <c r="J23" s="164"/>
      <c r="K23" s="164"/>
      <c r="L23" s="164"/>
      <c r="M23" s="164"/>
      <c r="N23" s="164"/>
      <c r="O23" s="164"/>
      <c r="P23" s="165"/>
      <c r="Q23" s="190" t="s">
        <v>130</v>
      </c>
      <c r="R23" s="166"/>
      <c r="S23" s="166"/>
      <c r="T23" s="166"/>
      <c r="U23" s="166"/>
      <c r="V23" s="166"/>
      <c r="W23" s="166"/>
      <c r="X23" s="166"/>
      <c r="Y23" s="17"/>
      <c r="Z23" s="17"/>
      <c r="AA23" s="28"/>
      <c r="AB23" s="31"/>
      <c r="AC23" s="16"/>
    </row>
    <row r="24" spans="2:29">
      <c r="B24" s="29"/>
      <c r="C24" s="164"/>
      <c r="D24" s="164"/>
      <c r="E24" s="164"/>
      <c r="F24" s="164"/>
      <c r="G24" s="164"/>
      <c r="H24" s="164"/>
      <c r="I24" s="164"/>
      <c r="J24" s="164"/>
      <c r="K24" s="164"/>
      <c r="L24" s="164"/>
      <c r="M24" s="164"/>
      <c r="N24" s="164"/>
      <c r="O24" s="164"/>
      <c r="P24" s="165"/>
      <c r="Q24" s="166"/>
      <c r="R24" s="166"/>
      <c r="S24" s="166"/>
      <c r="T24" s="166"/>
      <c r="U24" s="166"/>
      <c r="V24" s="166"/>
      <c r="W24" s="166"/>
      <c r="X24" s="166"/>
      <c r="Y24" s="16"/>
      <c r="Z24" s="16"/>
      <c r="AA24" s="28"/>
      <c r="AB24" s="31"/>
      <c r="AC24" s="16"/>
    </row>
    <row r="25" spans="2:29">
      <c r="B25" s="29"/>
      <c r="C25" s="189"/>
      <c r="D25" s="189"/>
      <c r="E25" s="26"/>
      <c r="F25" s="26"/>
      <c r="G25" s="26"/>
      <c r="H25" s="26"/>
      <c r="I25" s="26"/>
      <c r="J25" s="26"/>
      <c r="K25" s="26"/>
      <c r="L25" s="26"/>
      <c r="M25" s="26"/>
      <c r="N25" s="26"/>
      <c r="O25" s="26"/>
      <c r="Q25" s="166"/>
      <c r="R25" s="166"/>
      <c r="S25" s="166"/>
      <c r="T25" s="166"/>
      <c r="U25" s="166"/>
      <c r="V25" s="166"/>
      <c r="W25" s="166"/>
      <c r="X25" s="166"/>
      <c r="Y25" s="16"/>
      <c r="Z25" s="16"/>
      <c r="AA25" s="28"/>
      <c r="AB25" s="31"/>
      <c r="AC25" s="16"/>
    </row>
    <row r="26" spans="2:29">
      <c r="B26" s="29"/>
      <c r="C26" s="189"/>
      <c r="D26" s="189"/>
      <c r="E26" s="26"/>
      <c r="F26" s="26"/>
      <c r="G26" s="26"/>
      <c r="H26" s="26"/>
      <c r="I26" s="26"/>
      <c r="J26" s="26"/>
      <c r="K26" s="26"/>
      <c r="L26" s="26"/>
      <c r="M26" s="26"/>
      <c r="N26" s="26"/>
      <c r="O26" s="26"/>
      <c r="Q26" s="165"/>
      <c r="R26" s="165"/>
      <c r="S26" s="165"/>
      <c r="T26" s="165"/>
      <c r="U26" s="165"/>
      <c r="V26" s="165"/>
      <c r="W26" s="165"/>
      <c r="X26" s="165"/>
      <c r="Y26" s="28"/>
      <c r="Z26" s="28"/>
      <c r="AA26" s="28"/>
      <c r="AB26" s="31"/>
      <c r="AC26" s="16"/>
    </row>
    <row r="27" spans="2:29">
      <c r="B27" s="29"/>
      <c r="C27" s="162"/>
      <c r="D27" s="162"/>
      <c r="E27" s="164"/>
      <c r="F27" s="164"/>
      <c r="G27" s="164"/>
      <c r="H27" s="164"/>
      <c r="I27" s="164"/>
      <c r="J27" s="164"/>
      <c r="K27" s="164"/>
      <c r="L27" s="164"/>
      <c r="M27" s="164"/>
      <c r="N27" s="164"/>
      <c r="O27" s="164"/>
      <c r="Q27" s="165"/>
      <c r="R27" s="165"/>
      <c r="S27" s="165"/>
      <c r="T27" s="165"/>
      <c r="U27" s="165"/>
      <c r="V27" s="165"/>
      <c r="W27" s="165"/>
      <c r="X27" s="165"/>
      <c r="Y27" s="28"/>
      <c r="Z27" s="28"/>
      <c r="AB27" s="31"/>
      <c r="AC27" s="16"/>
    </row>
    <row r="28" spans="2:29" ht="16.5" thickBot="1">
      <c r="B28" s="33"/>
      <c r="C28" s="188"/>
      <c r="D28" s="188"/>
      <c r="E28" s="34"/>
      <c r="F28" s="34"/>
      <c r="G28" s="34"/>
      <c r="H28" s="34"/>
      <c r="I28" s="34"/>
      <c r="J28" s="34"/>
      <c r="K28" s="34"/>
      <c r="L28" s="34"/>
      <c r="M28" s="34"/>
      <c r="N28" s="34"/>
      <c r="O28" s="34"/>
      <c r="P28" s="35"/>
      <c r="Q28" s="35"/>
      <c r="R28" s="35"/>
      <c r="S28" s="35"/>
      <c r="T28" s="35"/>
      <c r="U28" s="35"/>
      <c r="V28" s="35"/>
      <c r="W28" s="35"/>
      <c r="X28" s="35"/>
      <c r="Y28" s="36"/>
      <c r="Z28" s="36"/>
      <c r="AA28" s="120"/>
      <c r="AB28" s="121"/>
      <c r="AC28" s="16"/>
    </row>
    <row r="29" spans="2:29" ht="16.5" thickTop="1">
      <c r="C29" s="20"/>
      <c r="D29" s="20"/>
      <c r="E29" s="20"/>
      <c r="F29" s="20"/>
      <c r="G29" s="20"/>
      <c r="H29" s="20"/>
      <c r="I29" s="20"/>
      <c r="J29" s="20"/>
      <c r="K29" s="20"/>
      <c r="L29" s="20"/>
      <c r="M29" s="20"/>
      <c r="N29" s="20"/>
      <c r="O29" s="20"/>
      <c r="Y29" s="16"/>
      <c r="Z29" s="16"/>
    </row>
  </sheetData>
  <sheetProtection algorithmName="SHA-512" hashValue="l4NMXPtIecyFO0l4MP4ukO2eif7MmqMv/L3GPgN83TDz0R9o6wEBWvxz+lkpbt5ILNgNVKMX6Z14/7QdalGvFg==" saltValue="cLAhsnnJ8S7akxAPRBLDrQ==" spinCount="100000" sheet="1" formatCells="0" selectLockedCells="1"/>
  <mergeCells count="26">
    <mergeCell ref="Z2:AB2"/>
    <mergeCell ref="N2:R2"/>
    <mergeCell ref="U7:V7"/>
    <mergeCell ref="R7:T7"/>
    <mergeCell ref="J7:Q7"/>
    <mergeCell ref="C6:AA6"/>
    <mergeCell ref="N4:R4"/>
    <mergeCell ref="Q23:X27"/>
    <mergeCell ref="Q17:X17"/>
    <mergeCell ref="C26:D26"/>
    <mergeCell ref="F11:H12"/>
    <mergeCell ref="F13:H13"/>
    <mergeCell ref="C14:E15"/>
    <mergeCell ref="F14:H15"/>
    <mergeCell ref="I11:K12"/>
    <mergeCell ref="I13:K15"/>
    <mergeCell ref="L11:O12"/>
    <mergeCell ref="L13:O15"/>
    <mergeCell ref="C28:D28"/>
    <mergeCell ref="C12:E12"/>
    <mergeCell ref="C13:E13"/>
    <mergeCell ref="C11:E11"/>
    <mergeCell ref="C17:P24"/>
    <mergeCell ref="C25:D25"/>
    <mergeCell ref="C27:D27"/>
    <mergeCell ref="E27:O27"/>
  </mergeCells>
  <dataValidations count="1">
    <dataValidation type="list" allowBlank="1" showInputMessage="1" showErrorMessage="1" sqref="N4:R4" xr:uid="{00000000-0002-0000-0300-000000000000}">
      <formula1>AM</formula1>
    </dataValidation>
  </dataValidations>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8" tint="-0.499984740745262"/>
  </sheetPr>
  <dimension ref="B1:AC48"/>
  <sheetViews>
    <sheetView workbookViewId="0">
      <selection activeCell="C12" sqref="C12:E12"/>
    </sheetView>
  </sheetViews>
  <sheetFormatPr defaultColWidth="10.875" defaultRowHeight="15.75"/>
  <cols>
    <col min="1" max="2" width="2.625" customWidth="1"/>
    <col min="3" max="28" width="11.25" customWidth="1"/>
    <col min="29" max="29" width="2.625" customWidth="1"/>
  </cols>
  <sheetData>
    <row r="1" spans="2:29" ht="16.5" thickBot="1"/>
    <row r="2" spans="2:29" ht="24.95" customHeight="1" thickBot="1">
      <c r="B2" s="60"/>
      <c r="C2" s="61"/>
      <c r="D2" s="62"/>
      <c r="E2" s="63"/>
      <c r="F2" s="64"/>
      <c r="G2" s="64"/>
      <c r="H2" s="64"/>
      <c r="I2" s="64"/>
      <c r="J2" s="64"/>
      <c r="K2" s="64"/>
      <c r="L2" s="64"/>
      <c r="M2" s="64"/>
      <c r="N2" s="64"/>
      <c r="O2" s="179" t="s">
        <v>131</v>
      </c>
      <c r="P2" s="179"/>
      <c r="Q2" s="179"/>
      <c r="R2" s="179"/>
      <c r="S2" s="179"/>
      <c r="T2" s="65"/>
      <c r="U2" s="65"/>
      <c r="V2" s="65"/>
      <c r="W2" s="65"/>
      <c r="X2" s="65"/>
      <c r="Y2" s="65"/>
      <c r="Z2" s="65"/>
      <c r="AA2" s="65"/>
      <c r="AB2" s="73" t="s">
        <v>1</v>
      </c>
      <c r="AC2" s="66"/>
    </row>
    <row r="3" spans="2:29" ht="15.95" customHeight="1">
      <c r="B3" s="67"/>
      <c r="AC3" s="68"/>
    </row>
    <row r="4" spans="2:29" ht="18.75">
      <c r="B4" s="67"/>
      <c r="N4" s="136" t="s">
        <v>2</v>
      </c>
      <c r="O4" s="180" t="s">
        <v>132</v>
      </c>
      <c r="P4" s="181"/>
      <c r="Q4" s="181"/>
      <c r="R4" s="181"/>
      <c r="S4" s="181"/>
      <c r="T4" s="27"/>
      <c r="U4" s="27"/>
      <c r="AC4" s="68"/>
    </row>
    <row r="5" spans="2:29" ht="16.5" thickBot="1">
      <c r="B5" s="67"/>
      <c r="AC5" s="68"/>
    </row>
    <row r="6" spans="2:29" ht="18" customHeight="1" thickBot="1">
      <c r="B6" s="67"/>
      <c r="C6" s="202" t="s">
        <v>4</v>
      </c>
      <c r="D6" s="203"/>
      <c r="E6" s="203"/>
      <c r="F6" s="203"/>
      <c r="G6" s="203"/>
      <c r="H6" s="203"/>
      <c r="I6" s="203"/>
      <c r="J6" s="203"/>
      <c r="K6" s="203"/>
      <c r="L6" s="203"/>
      <c r="M6" s="203"/>
      <c r="N6" s="203"/>
      <c r="O6" s="203"/>
      <c r="P6" s="203"/>
      <c r="Q6" s="203"/>
      <c r="R6" s="203"/>
      <c r="S6" s="203"/>
      <c r="T6" s="203"/>
      <c r="U6" s="203"/>
      <c r="V6" s="203"/>
      <c r="W6" s="203"/>
      <c r="X6" s="203"/>
      <c r="Y6" s="203"/>
      <c r="Z6" s="203"/>
      <c r="AA6" s="203"/>
      <c r="AB6" s="204"/>
      <c r="AC6" s="68"/>
    </row>
    <row r="7" spans="2:29" ht="16.5" thickBot="1">
      <c r="B7" s="67"/>
      <c r="C7" s="56"/>
      <c r="D7" s="56"/>
      <c r="E7" s="56"/>
      <c r="F7" s="56"/>
      <c r="G7" s="56"/>
      <c r="H7" s="56"/>
      <c r="I7" s="56"/>
      <c r="J7" s="207" t="s">
        <v>5</v>
      </c>
      <c r="K7" s="208"/>
      <c r="L7" s="208"/>
      <c r="M7" s="208"/>
      <c r="N7" s="208"/>
      <c r="O7" s="208"/>
      <c r="P7" s="208"/>
      <c r="Q7" s="208"/>
      <c r="R7" s="202" t="s">
        <v>6</v>
      </c>
      <c r="S7" s="203"/>
      <c r="T7" s="204"/>
      <c r="U7" s="202" t="s">
        <v>7</v>
      </c>
      <c r="V7" s="203"/>
      <c r="W7" s="115"/>
      <c r="X7" s="115"/>
      <c r="Y7" s="115"/>
      <c r="Z7" s="115"/>
      <c r="AA7" s="113"/>
      <c r="AB7" s="8"/>
      <c r="AC7" s="68"/>
    </row>
    <row r="8" spans="2:29" ht="42.95" customHeight="1" thickBot="1">
      <c r="B8" s="67"/>
      <c r="C8" s="112" t="s">
        <v>8</v>
      </c>
      <c r="D8" s="112" t="s">
        <v>9</v>
      </c>
      <c r="E8" s="112" t="s">
        <v>10</v>
      </c>
      <c r="F8" s="57" t="s">
        <v>11</v>
      </c>
      <c r="G8" s="112" t="s">
        <v>111</v>
      </c>
      <c r="H8" s="112" t="s">
        <v>112</v>
      </c>
      <c r="I8" s="57" t="s">
        <v>13</v>
      </c>
      <c r="J8" s="110" t="s">
        <v>14</v>
      </c>
      <c r="K8" s="111" t="s">
        <v>15</v>
      </c>
      <c r="L8" s="110" t="s">
        <v>16</v>
      </c>
      <c r="M8" s="110" t="s">
        <v>17</v>
      </c>
      <c r="N8" s="110" t="s">
        <v>113</v>
      </c>
      <c r="O8" s="110" t="s">
        <v>19</v>
      </c>
      <c r="P8" s="110" t="s">
        <v>20</v>
      </c>
      <c r="Q8" s="110" t="s">
        <v>114</v>
      </c>
      <c r="R8" s="110" t="s">
        <v>22</v>
      </c>
      <c r="S8" s="110" t="s">
        <v>23</v>
      </c>
      <c r="T8" s="110" t="s">
        <v>115</v>
      </c>
      <c r="U8" s="110" t="s">
        <v>25</v>
      </c>
      <c r="V8" s="110" t="s">
        <v>26</v>
      </c>
      <c r="W8" s="112" t="s">
        <v>116</v>
      </c>
      <c r="X8" s="112" t="s">
        <v>29</v>
      </c>
      <c r="Y8" s="57" t="s">
        <v>30</v>
      </c>
      <c r="Z8" s="42" t="s">
        <v>31</v>
      </c>
      <c r="AA8" s="123" t="s">
        <v>32</v>
      </c>
      <c r="AB8" s="57" t="s">
        <v>33</v>
      </c>
      <c r="AC8" s="68"/>
    </row>
    <row r="9" spans="2:29" ht="33" customHeight="1" thickBot="1">
      <c r="B9" s="67"/>
      <c r="C9" s="48" t="s">
        <v>34</v>
      </c>
      <c r="D9" s="48" t="s">
        <v>35</v>
      </c>
      <c r="E9" s="48" t="s">
        <v>36</v>
      </c>
      <c r="F9" s="101" t="s">
        <v>133</v>
      </c>
      <c r="G9" s="46" t="str">
        <f>VLOOKUP($O4,MLXBoiler,6,FALSE)</f>
        <v>2687 / 2831</v>
      </c>
      <c r="H9" s="46">
        <f>VLOOKUP($O4,MLXBoiler,7,FALSE)</f>
        <v>8</v>
      </c>
      <c r="I9" s="99">
        <f>VLOOKUP($O4,MLXBoiler,8,FALSE)</f>
        <v>92</v>
      </c>
      <c r="J9" s="47" t="str">
        <f>VLOOKUP($O4,MLXBoiler,9,FALSE)</f>
        <v>--</v>
      </c>
      <c r="K9" s="101">
        <f>VLOOKUP($O4,MLXBoiler,10,FALSE)</f>
        <v>7</v>
      </c>
      <c r="L9" s="101">
        <f>VLOOKUP($O4,MLXBoiler,11,FALSE)</f>
        <v>80</v>
      </c>
      <c r="M9" s="99">
        <f>VLOOKUP($O4,MLXBoiler,12,FALSE)</f>
        <v>92</v>
      </c>
      <c r="N9" s="47" t="s">
        <v>38</v>
      </c>
      <c r="O9" s="47" t="str">
        <f>VLOOKUP($O4,MLXBoiler,14,FALSE)</f>
        <v>--</v>
      </c>
      <c r="P9" s="46" t="str">
        <f>VLOOKUP($O4,MLXBoiler,15,FALSE)</f>
        <v>113 / 225</v>
      </c>
      <c r="Q9" s="46" t="str">
        <f>VLOOKUP($O4,MLXBoiler,16,FALSE)</f>
        <v>13.2 FT.HD. @ 225 GPM</v>
      </c>
      <c r="R9" s="46" t="str">
        <f>VLOOKUP($O4,MLXBoiler,17,FALSE)</f>
        <v>NATURAL GAS</v>
      </c>
      <c r="S9" s="46">
        <f>VLOOKUP($O4,MLXBoiler,18,FALSE)</f>
        <v>3060</v>
      </c>
      <c r="T9" s="46" t="str">
        <f>VLOOKUP($O4,MLXBoiler,19,FALSE)</f>
        <v>4 - 10.5</v>
      </c>
      <c r="U9" s="46" t="str">
        <f>VLOOKUP($O4,MLXBoiler,20,FALSE)</f>
        <v>120/1/60</v>
      </c>
      <c r="V9" s="46">
        <f>VLOOKUP($O4,MLXBoiler,21,FALSE)</f>
        <v>20</v>
      </c>
      <c r="W9" s="46" t="str">
        <f>VLOOKUP($O4,MLXBoiler,22,FALSE)</f>
        <v>38.3 x 63.9 x 57.2</v>
      </c>
      <c r="X9" s="46">
        <f>VLOOKUP($O4,MLXBoiler,23,FALSE)</f>
        <v>1664</v>
      </c>
      <c r="Y9" s="46" t="s">
        <v>39</v>
      </c>
      <c r="Z9" s="110" t="s">
        <v>134</v>
      </c>
      <c r="AA9" s="114" t="s">
        <v>41</v>
      </c>
      <c r="AB9" s="111" t="str">
        <f>VLOOKUP($O4,MLXBoiler,27,FALSE)</f>
        <v>MLX EXT 3000 2S</v>
      </c>
      <c r="AC9" s="68"/>
    </row>
    <row r="10" spans="2:29" ht="16.5" customHeight="1">
      <c r="B10" s="67"/>
      <c r="C10" s="205" t="s">
        <v>42</v>
      </c>
      <c r="D10" s="206"/>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124"/>
      <c r="AC10" s="68"/>
    </row>
    <row r="11" spans="2:29" ht="16.5" customHeight="1">
      <c r="B11" s="67"/>
      <c r="C11" s="169" t="s">
        <v>43</v>
      </c>
      <c r="D11" s="167"/>
      <c r="E11" s="167"/>
      <c r="F11" s="167" t="s">
        <v>135</v>
      </c>
      <c r="G11" s="167"/>
      <c r="H11" s="167"/>
      <c r="I11" s="167" t="s">
        <v>136</v>
      </c>
      <c r="J11" s="167"/>
      <c r="K11" s="167"/>
      <c r="L11" s="171" t="s">
        <v>137</v>
      </c>
      <c r="M11" s="171"/>
      <c r="N11" s="171"/>
      <c r="O11" s="193" t="s">
        <v>138</v>
      </c>
      <c r="P11" s="193"/>
      <c r="Q11" s="193"/>
      <c r="R11" s="193"/>
      <c r="S11" s="129"/>
      <c r="T11" s="129"/>
      <c r="U11" s="129"/>
      <c r="V11" s="129"/>
      <c r="W11" s="129"/>
      <c r="X11" s="139"/>
      <c r="Y11" s="139"/>
      <c r="Z11" s="129"/>
      <c r="AA11" s="129"/>
      <c r="AB11" s="52"/>
      <c r="AC11" s="68"/>
    </row>
    <row r="12" spans="2:29" ht="16.5" customHeight="1">
      <c r="B12" s="67"/>
      <c r="C12" s="169" t="str">
        <f>VLOOKUP($O4,MLXBoiler,28,FALSE)</f>
        <v>2. MINIMUM TURNDOWN: 39:1</v>
      </c>
      <c r="D12" s="167"/>
      <c r="E12" s="167"/>
      <c r="F12" s="167" t="s">
        <v>139</v>
      </c>
      <c r="G12" s="167"/>
      <c r="H12" s="167"/>
      <c r="I12" s="167" t="s">
        <v>140</v>
      </c>
      <c r="J12" s="167"/>
      <c r="K12" s="167"/>
      <c r="L12" s="171"/>
      <c r="M12" s="171"/>
      <c r="N12" s="171"/>
      <c r="O12" s="193"/>
      <c r="P12" s="193"/>
      <c r="Q12" s="193"/>
      <c r="R12" s="193"/>
      <c r="S12" s="129"/>
      <c r="T12" s="129"/>
      <c r="U12" s="129"/>
      <c r="V12" s="129"/>
      <c r="W12" s="129"/>
      <c r="X12" s="139"/>
      <c r="Y12" s="139"/>
      <c r="Z12" s="129"/>
      <c r="AA12" s="129"/>
      <c r="AB12" s="52"/>
      <c r="AC12" s="68"/>
    </row>
    <row r="13" spans="2:29" ht="16.5" customHeight="1">
      <c r="B13" s="67"/>
      <c r="C13" s="169" t="str">
        <f>VLOOKUP($O4,MLXBoiler,29,FALSE)</f>
        <v>3. MAX NOX: 20 PPM, 3% O2 CORRECTED</v>
      </c>
      <c r="D13" s="167"/>
      <c r="E13" s="167"/>
      <c r="F13" s="167"/>
      <c r="G13" s="167"/>
      <c r="H13" s="167"/>
      <c r="I13" s="167"/>
      <c r="J13" s="167"/>
      <c r="K13" s="167"/>
      <c r="L13" s="171" t="s">
        <v>141</v>
      </c>
      <c r="M13" s="171"/>
      <c r="N13" s="171"/>
      <c r="O13" s="108"/>
      <c r="P13" s="108"/>
      <c r="Q13" s="108"/>
      <c r="R13" s="129"/>
      <c r="S13" s="129"/>
      <c r="T13" s="129"/>
      <c r="U13" s="129"/>
      <c r="V13" s="129"/>
      <c r="W13" s="129"/>
      <c r="X13" s="139"/>
      <c r="Y13" s="139"/>
      <c r="Z13" s="129"/>
      <c r="AA13" s="129"/>
      <c r="AB13" s="52"/>
      <c r="AC13" s="68"/>
    </row>
    <row r="14" spans="2:29" ht="15.75" customHeight="1">
      <c r="B14" s="67"/>
      <c r="C14" s="169" t="s">
        <v>52</v>
      </c>
      <c r="D14" s="167"/>
      <c r="E14" s="167"/>
      <c r="F14" s="167" t="s">
        <v>142</v>
      </c>
      <c r="G14" s="167"/>
      <c r="H14" s="167"/>
      <c r="I14" s="167" t="s">
        <v>143</v>
      </c>
      <c r="J14" s="167"/>
      <c r="K14" s="167"/>
      <c r="L14" s="171"/>
      <c r="M14" s="171"/>
      <c r="N14" s="171"/>
      <c r="O14" s="108"/>
      <c r="P14" s="108"/>
      <c r="Q14" s="108"/>
      <c r="R14" s="129"/>
      <c r="S14" s="129"/>
      <c r="T14" s="129"/>
      <c r="U14" s="129"/>
      <c r="V14" s="129"/>
      <c r="W14" s="129"/>
      <c r="X14" s="139"/>
      <c r="Y14" s="139"/>
      <c r="Z14" s="129"/>
      <c r="AA14" s="129"/>
      <c r="AB14" s="52"/>
      <c r="AC14" s="68"/>
    </row>
    <row r="15" spans="2:29" ht="16.5" customHeight="1" thickBot="1">
      <c r="B15" s="67"/>
      <c r="C15" s="172"/>
      <c r="D15" s="168"/>
      <c r="E15" s="168"/>
      <c r="F15" s="168" t="s">
        <v>81</v>
      </c>
      <c r="G15" s="168"/>
      <c r="H15" s="168"/>
      <c r="I15" s="168"/>
      <c r="J15" s="168"/>
      <c r="K15" s="168"/>
      <c r="L15" s="140"/>
      <c r="M15" s="140"/>
      <c r="N15" s="140"/>
      <c r="O15" s="140"/>
      <c r="P15" s="140"/>
      <c r="Q15" s="140"/>
      <c r="R15" s="54"/>
      <c r="S15" s="54"/>
      <c r="T15" s="54"/>
      <c r="U15" s="130"/>
      <c r="V15" s="130"/>
      <c r="W15" s="130"/>
      <c r="X15" s="130"/>
      <c r="Y15" s="140"/>
      <c r="Z15" s="130"/>
      <c r="AA15" s="130"/>
      <c r="AB15" s="53"/>
      <c r="AC15" s="68"/>
    </row>
    <row r="16" spans="2:29" ht="16.5" customHeight="1">
      <c r="B16" s="67"/>
      <c r="AC16" s="68"/>
    </row>
    <row r="17" spans="2:29" ht="16.5" customHeight="1">
      <c r="B17" s="67"/>
      <c r="AC17" s="68"/>
    </row>
    <row r="18" spans="2:29">
      <c r="B18" s="67"/>
      <c r="AC18" s="68"/>
    </row>
    <row r="19" spans="2:29" ht="15.75" customHeight="1">
      <c r="B19" s="67"/>
      <c r="C19" s="163" t="s">
        <v>92</v>
      </c>
      <c r="D19" s="164"/>
      <c r="E19" s="164"/>
      <c r="F19" s="164"/>
      <c r="G19" s="164"/>
      <c r="H19" s="164"/>
      <c r="I19" s="164"/>
      <c r="J19" s="164"/>
      <c r="K19" s="164"/>
      <c r="L19" s="164"/>
      <c r="M19" s="164"/>
      <c r="N19" s="164"/>
      <c r="O19" s="164"/>
      <c r="P19" s="165"/>
      <c r="Q19" s="191" t="s">
        <v>128</v>
      </c>
      <c r="R19" s="165"/>
      <c r="S19" s="165"/>
      <c r="T19" s="165"/>
      <c r="U19" s="165"/>
      <c r="V19" s="165"/>
      <c r="W19" s="165"/>
      <c r="X19" s="165"/>
      <c r="Y19" s="16"/>
      <c r="Z19" s="16"/>
      <c r="AA19" s="16"/>
      <c r="AB19" s="16"/>
      <c r="AC19" s="68"/>
    </row>
    <row r="20" spans="2:29">
      <c r="B20" s="67"/>
      <c r="C20" s="164"/>
      <c r="D20" s="164"/>
      <c r="E20" s="164"/>
      <c r="F20" s="164"/>
      <c r="G20" s="164"/>
      <c r="H20" s="164"/>
      <c r="I20" s="164"/>
      <c r="J20" s="164"/>
      <c r="K20" s="164"/>
      <c r="L20" s="164"/>
      <c r="M20" s="164"/>
      <c r="N20" s="164"/>
      <c r="O20" s="164"/>
      <c r="P20" s="165"/>
      <c r="Q20" s="26"/>
      <c r="Y20" s="16"/>
      <c r="Z20" s="16"/>
      <c r="AA20" s="16"/>
      <c r="AB20" s="16"/>
      <c r="AC20" s="68"/>
    </row>
    <row r="21" spans="2:29">
      <c r="B21" s="67"/>
      <c r="C21" s="164"/>
      <c r="D21" s="164"/>
      <c r="E21" s="164"/>
      <c r="F21" s="164"/>
      <c r="G21" s="164"/>
      <c r="H21" s="164"/>
      <c r="I21" s="164"/>
      <c r="J21" s="164"/>
      <c r="K21" s="164"/>
      <c r="L21" s="164"/>
      <c r="M21" s="164"/>
      <c r="N21" s="164"/>
      <c r="O21" s="164"/>
      <c r="P21" s="165"/>
      <c r="Q21" s="26" t="s">
        <v>69</v>
      </c>
      <c r="Y21" s="16"/>
      <c r="Z21" s="16"/>
      <c r="AA21" s="16"/>
      <c r="AB21" s="16"/>
      <c r="AC21" s="68"/>
    </row>
    <row r="22" spans="2:29">
      <c r="B22" s="67"/>
      <c r="C22" s="164"/>
      <c r="D22" s="164"/>
      <c r="E22" s="164"/>
      <c r="F22" s="164"/>
      <c r="G22" s="164"/>
      <c r="H22" s="164"/>
      <c r="I22" s="164"/>
      <c r="J22" s="164"/>
      <c r="K22" s="164"/>
      <c r="L22" s="164"/>
      <c r="M22" s="164"/>
      <c r="N22" s="164"/>
      <c r="O22" s="164"/>
      <c r="P22" s="165"/>
      <c r="Q22" s="26" t="s">
        <v>129</v>
      </c>
      <c r="Y22" s="16"/>
      <c r="Z22" s="16"/>
      <c r="AA22" s="16"/>
      <c r="AB22" s="16"/>
      <c r="AC22" s="68"/>
    </row>
    <row r="23" spans="2:29">
      <c r="B23" s="67"/>
      <c r="C23" s="164"/>
      <c r="D23" s="164"/>
      <c r="E23" s="164"/>
      <c r="F23" s="164"/>
      <c r="G23" s="164"/>
      <c r="H23" s="164"/>
      <c r="I23" s="164"/>
      <c r="J23" s="164"/>
      <c r="K23" s="164"/>
      <c r="L23" s="164"/>
      <c r="M23" s="164"/>
      <c r="N23" s="164"/>
      <c r="O23" s="164"/>
      <c r="P23" s="165"/>
      <c r="Q23" s="26" t="s">
        <v>71</v>
      </c>
      <c r="Y23" s="16"/>
      <c r="Z23" s="16"/>
      <c r="AA23" s="16"/>
      <c r="AB23" s="16"/>
      <c r="AC23" s="68"/>
    </row>
    <row r="24" spans="2:29">
      <c r="B24" s="67"/>
      <c r="C24" s="164"/>
      <c r="D24" s="164"/>
      <c r="E24" s="164"/>
      <c r="F24" s="164"/>
      <c r="G24" s="164"/>
      <c r="H24" s="164"/>
      <c r="I24" s="164"/>
      <c r="J24" s="164"/>
      <c r="K24" s="164"/>
      <c r="L24" s="164"/>
      <c r="M24" s="164"/>
      <c r="N24" s="164"/>
      <c r="O24" s="164"/>
      <c r="P24" s="165"/>
      <c r="Q24" s="26"/>
      <c r="Y24" s="16"/>
      <c r="Z24" s="16"/>
      <c r="AA24" s="16"/>
      <c r="AB24" s="16"/>
      <c r="AC24" s="68"/>
    </row>
    <row r="25" spans="2:29">
      <c r="B25" s="67"/>
      <c r="C25" s="164"/>
      <c r="D25" s="164"/>
      <c r="E25" s="164"/>
      <c r="F25" s="164"/>
      <c r="G25" s="164"/>
      <c r="H25" s="164"/>
      <c r="I25" s="164"/>
      <c r="J25" s="164"/>
      <c r="K25" s="164"/>
      <c r="L25" s="164"/>
      <c r="M25" s="164"/>
      <c r="N25" s="164"/>
      <c r="O25" s="164"/>
      <c r="P25" s="165"/>
      <c r="Q25" s="190" t="s">
        <v>144</v>
      </c>
      <c r="R25" s="166"/>
      <c r="S25" s="166"/>
      <c r="T25" s="166"/>
      <c r="U25" s="166"/>
      <c r="V25" s="166"/>
      <c r="W25" s="166"/>
      <c r="X25" s="166"/>
      <c r="Y25" s="17"/>
      <c r="Z25" s="17"/>
      <c r="AA25" s="17"/>
      <c r="AB25" s="17"/>
      <c r="AC25" s="68"/>
    </row>
    <row r="26" spans="2:29">
      <c r="B26" s="67"/>
      <c r="C26" s="164"/>
      <c r="D26" s="164"/>
      <c r="E26" s="164"/>
      <c r="F26" s="164"/>
      <c r="G26" s="164"/>
      <c r="H26" s="164"/>
      <c r="I26" s="164"/>
      <c r="J26" s="164"/>
      <c r="K26" s="164"/>
      <c r="L26" s="164"/>
      <c r="M26" s="164"/>
      <c r="N26" s="164"/>
      <c r="O26" s="164"/>
      <c r="P26" s="165"/>
      <c r="Q26" s="166"/>
      <c r="R26" s="166"/>
      <c r="S26" s="166"/>
      <c r="T26" s="166"/>
      <c r="U26" s="166"/>
      <c r="V26" s="166"/>
      <c r="W26" s="166"/>
      <c r="X26" s="166"/>
      <c r="Y26" s="16"/>
      <c r="Z26" s="16"/>
      <c r="AA26" s="16"/>
      <c r="AB26" s="16"/>
      <c r="AC26" s="68"/>
    </row>
    <row r="27" spans="2:29">
      <c r="B27" s="67"/>
      <c r="C27" s="51"/>
      <c r="D27" s="51"/>
      <c r="E27" s="26"/>
      <c r="F27" s="26"/>
      <c r="G27" s="26"/>
      <c r="H27" s="26"/>
      <c r="I27" s="26"/>
      <c r="J27" s="26"/>
      <c r="K27" s="26"/>
      <c r="L27" s="26"/>
      <c r="M27" s="26"/>
      <c r="N27" s="26"/>
      <c r="O27" s="26"/>
      <c r="Q27" s="166"/>
      <c r="R27" s="166"/>
      <c r="S27" s="166"/>
      <c r="T27" s="166"/>
      <c r="U27" s="166"/>
      <c r="V27" s="166"/>
      <c r="W27" s="166"/>
      <c r="X27" s="166"/>
      <c r="Y27" s="16"/>
      <c r="Z27" s="16"/>
      <c r="AA27" s="16"/>
      <c r="AB27" s="16"/>
      <c r="AC27" s="68"/>
    </row>
    <row r="28" spans="2:29">
      <c r="B28" s="67"/>
      <c r="C28" s="51"/>
      <c r="D28" s="51"/>
      <c r="E28" s="26"/>
      <c r="F28" s="26"/>
      <c r="G28" s="26"/>
      <c r="H28" s="26"/>
      <c r="I28" s="26"/>
      <c r="J28" s="26"/>
      <c r="K28" s="26"/>
      <c r="L28" s="26"/>
      <c r="M28" s="26"/>
      <c r="N28" s="26"/>
      <c r="O28" s="26"/>
      <c r="Q28" s="165"/>
      <c r="R28" s="165"/>
      <c r="S28" s="165"/>
      <c r="T28" s="165"/>
      <c r="U28" s="165"/>
      <c r="V28" s="165"/>
      <c r="W28" s="165"/>
      <c r="X28" s="165"/>
      <c r="Y28" s="28"/>
      <c r="Z28" s="28"/>
      <c r="AA28" s="28"/>
      <c r="AB28" s="28"/>
      <c r="AC28" s="68"/>
    </row>
    <row r="29" spans="2:29">
      <c r="B29" s="67"/>
      <c r="C29" s="162"/>
      <c r="D29" s="162"/>
      <c r="E29" s="26"/>
      <c r="F29" s="26"/>
      <c r="G29" s="26"/>
      <c r="H29" s="26"/>
      <c r="I29" s="26"/>
      <c r="J29" s="26"/>
      <c r="K29" s="26"/>
      <c r="L29" s="26"/>
      <c r="M29" s="26"/>
      <c r="N29" s="26"/>
      <c r="O29" s="26"/>
      <c r="Q29" s="165"/>
      <c r="R29" s="165"/>
      <c r="S29" s="165"/>
      <c r="T29" s="165"/>
      <c r="U29" s="165"/>
      <c r="V29" s="165"/>
      <c r="W29" s="165"/>
      <c r="X29" s="165"/>
      <c r="Y29" s="28"/>
      <c r="Z29" s="28"/>
      <c r="AA29" s="28"/>
      <c r="AB29" s="28"/>
      <c r="AC29" s="68"/>
    </row>
    <row r="30" spans="2:29" ht="16.5" thickBot="1">
      <c r="B30" s="69"/>
      <c r="C30" s="70"/>
      <c r="D30" s="70"/>
      <c r="E30" s="71"/>
      <c r="F30" s="71"/>
      <c r="G30" s="71"/>
      <c r="H30" s="71"/>
      <c r="I30" s="71"/>
      <c r="J30" s="71"/>
      <c r="K30" s="71"/>
      <c r="L30" s="71"/>
      <c r="M30" s="71"/>
      <c r="N30" s="71"/>
      <c r="O30" s="71"/>
      <c r="P30" s="70"/>
      <c r="Q30" s="70"/>
      <c r="R30" s="70"/>
      <c r="S30" s="70"/>
      <c r="T30" s="70"/>
      <c r="U30" s="70"/>
      <c r="V30" s="70"/>
      <c r="W30" s="70"/>
      <c r="X30" s="70"/>
      <c r="Y30" s="72"/>
      <c r="Z30" s="72"/>
      <c r="AA30" s="72"/>
      <c r="AB30" s="72"/>
      <c r="AC30" s="74"/>
    </row>
    <row r="31" spans="2:29">
      <c r="C31" s="25"/>
      <c r="D31" s="25"/>
      <c r="E31" s="25"/>
      <c r="F31" s="25"/>
      <c r="G31" s="25"/>
      <c r="H31" s="25"/>
      <c r="I31" s="20"/>
      <c r="J31" s="20"/>
      <c r="K31" s="20"/>
      <c r="L31" s="20"/>
      <c r="M31" s="20"/>
      <c r="N31" s="20"/>
      <c r="O31" s="20"/>
      <c r="Y31" s="16"/>
      <c r="Z31" s="16"/>
      <c r="AA31" s="16"/>
      <c r="AB31" s="16"/>
    </row>
    <row r="32" spans="2:29" ht="15.95" customHeight="1">
      <c r="C32" s="25"/>
      <c r="D32" s="25"/>
      <c r="E32" s="25"/>
      <c r="F32" s="25"/>
      <c r="L32" s="23"/>
      <c r="M32" s="24"/>
      <c r="N32" s="24"/>
    </row>
    <row r="33" spans="3:28">
      <c r="C33" s="25"/>
      <c r="D33" s="25"/>
      <c r="G33" s="44"/>
      <c r="H33" s="44"/>
      <c r="I33" s="44"/>
      <c r="J33" s="44"/>
    </row>
    <row r="34" spans="3:28">
      <c r="C34" s="25"/>
      <c r="D34" s="25"/>
      <c r="E34" s="25"/>
      <c r="F34" s="25"/>
      <c r="G34" s="25"/>
      <c r="H34" s="25"/>
      <c r="L34" s="25"/>
      <c r="M34" s="25"/>
    </row>
    <row r="35" spans="3:28">
      <c r="C35" s="25"/>
      <c r="D35" s="25"/>
      <c r="E35" s="25"/>
      <c r="F35" s="25"/>
      <c r="G35" s="25"/>
      <c r="H35" s="25"/>
      <c r="L35" s="25"/>
      <c r="M35" s="25"/>
      <c r="Q35" s="25"/>
      <c r="U35" s="25"/>
      <c r="V35" s="19"/>
      <c r="W35" s="19"/>
      <c r="X35" s="25"/>
      <c r="Y35" s="25"/>
      <c r="Z35" s="25"/>
      <c r="AA35" s="25"/>
      <c r="AB35" s="25"/>
    </row>
    <row r="36" spans="3:28">
      <c r="C36" s="25"/>
      <c r="G36" s="19"/>
      <c r="H36" s="19"/>
      <c r="I36" s="19"/>
      <c r="J36" s="19"/>
      <c r="K36" s="25"/>
      <c r="L36" s="25"/>
      <c r="M36" s="25"/>
      <c r="N36" s="24"/>
      <c r="O36" s="25"/>
      <c r="P36" s="25"/>
      <c r="Q36" s="25"/>
      <c r="R36" s="25"/>
      <c r="S36" s="19"/>
      <c r="T36" s="19"/>
      <c r="U36" s="19"/>
      <c r="V36" s="19"/>
      <c r="W36" s="19"/>
      <c r="X36" s="25"/>
      <c r="Y36" s="25"/>
      <c r="Z36" s="25"/>
      <c r="AA36" s="25"/>
      <c r="AB36" s="25"/>
    </row>
    <row r="37" spans="3:28">
      <c r="C37" s="25"/>
      <c r="D37" s="19"/>
      <c r="E37" s="19"/>
      <c r="F37" s="19"/>
      <c r="O37" s="25"/>
      <c r="P37" s="25"/>
      <c r="Q37" s="25"/>
      <c r="R37" s="19"/>
      <c r="S37" s="19"/>
      <c r="T37" s="19"/>
      <c r="U37" s="19"/>
      <c r="V37" s="19"/>
      <c r="W37" s="19"/>
      <c r="X37" s="25"/>
      <c r="Y37" s="25"/>
      <c r="Z37" s="25"/>
      <c r="AA37" s="25"/>
      <c r="AB37" s="25"/>
    </row>
    <row r="38" spans="3:28">
      <c r="C38" s="19"/>
      <c r="D38" s="19"/>
      <c r="E38" s="19"/>
      <c r="F38" s="19"/>
    </row>
    <row r="39" spans="3:28">
      <c r="C39" s="19"/>
      <c r="D39" s="19"/>
      <c r="E39" s="44"/>
      <c r="F39" s="44"/>
      <c r="G39" s="40"/>
      <c r="H39" s="40"/>
      <c r="I39" s="40"/>
      <c r="J39" s="43"/>
      <c r="K39" s="43"/>
      <c r="L39" s="43"/>
      <c r="M39" s="44"/>
      <c r="N39" s="44"/>
      <c r="O39" s="44"/>
      <c r="P39" s="45"/>
      <c r="Q39" s="45"/>
      <c r="R39" s="45"/>
      <c r="S39" s="44"/>
      <c r="T39" s="44"/>
      <c r="U39" s="44"/>
      <c r="V39" s="44"/>
      <c r="W39" s="44"/>
      <c r="X39" s="44"/>
      <c r="Y39" s="44"/>
      <c r="Z39" s="44"/>
      <c r="AA39" s="44"/>
      <c r="AB39" s="44"/>
    </row>
    <row r="40" spans="3:28">
      <c r="E40" s="45"/>
      <c r="F40" s="45"/>
      <c r="G40" s="45"/>
      <c r="H40" s="45"/>
      <c r="I40" s="45"/>
      <c r="J40" s="44"/>
      <c r="K40" s="44"/>
      <c r="L40" s="44"/>
      <c r="M40" s="44"/>
      <c r="N40" s="44"/>
      <c r="O40" s="44"/>
      <c r="P40" s="45"/>
      <c r="Q40" s="45"/>
      <c r="R40" s="45"/>
      <c r="S40" s="44"/>
      <c r="T40" s="44"/>
      <c r="U40" s="44"/>
      <c r="V40" s="44"/>
      <c r="W40" s="44"/>
      <c r="X40" s="44"/>
      <c r="Y40" s="44"/>
      <c r="Z40" s="44"/>
      <c r="AA40" s="44"/>
      <c r="AB40" s="44"/>
    </row>
    <row r="41" spans="3:28">
      <c r="C41" s="23"/>
      <c r="D41" s="24"/>
      <c r="E41" s="44"/>
      <c r="F41" s="44"/>
      <c r="G41" s="44"/>
      <c r="H41" s="44"/>
      <c r="I41" s="44"/>
      <c r="J41" s="44"/>
      <c r="K41" s="44"/>
      <c r="L41" s="44"/>
      <c r="M41" s="44"/>
      <c r="N41" s="44"/>
      <c r="O41" s="44"/>
      <c r="P41" s="44"/>
      <c r="Q41" s="44"/>
      <c r="R41" s="44"/>
      <c r="S41" s="44"/>
      <c r="T41" s="44"/>
      <c r="U41" s="44"/>
      <c r="V41" s="44"/>
      <c r="W41" s="44"/>
      <c r="X41" s="44"/>
      <c r="Y41" s="44"/>
      <c r="Z41" s="44"/>
      <c r="AA41" s="44"/>
      <c r="AB41" s="44"/>
    </row>
    <row r="42" spans="3:28">
      <c r="E42" s="44"/>
      <c r="F42" s="44"/>
      <c r="G42" s="44"/>
      <c r="H42" s="44"/>
      <c r="I42" s="44"/>
      <c r="J42" s="44"/>
      <c r="K42" s="44"/>
      <c r="L42" s="44"/>
      <c r="M42" s="44"/>
      <c r="N42" s="44"/>
      <c r="O42" s="44"/>
      <c r="P42" s="44"/>
      <c r="Q42" s="44"/>
      <c r="R42" s="44"/>
      <c r="S42" s="44"/>
      <c r="T42" s="44"/>
      <c r="U42" s="44"/>
      <c r="V42" s="44"/>
      <c r="W42" s="44"/>
      <c r="X42" s="44"/>
      <c r="Y42" s="44"/>
      <c r="Z42" s="44"/>
      <c r="AA42" s="44"/>
      <c r="AB42" s="44"/>
    </row>
    <row r="43" spans="3:28">
      <c r="C43" s="23"/>
      <c r="D43" s="24"/>
      <c r="E43" s="24"/>
      <c r="F43" s="24"/>
    </row>
    <row r="46" spans="3:28">
      <c r="C46" s="25"/>
      <c r="D46" s="19"/>
      <c r="E46" s="19"/>
      <c r="F46" s="19"/>
      <c r="G46" s="25"/>
      <c r="H46" s="25"/>
      <c r="I46" s="25"/>
      <c r="J46" s="25"/>
      <c r="K46" s="25"/>
      <c r="L46" s="25"/>
      <c r="M46" s="19"/>
      <c r="N46" s="19"/>
      <c r="O46" s="19"/>
      <c r="P46" s="25"/>
      <c r="Q46" s="19"/>
      <c r="R46" s="19"/>
      <c r="S46" s="19"/>
    </row>
    <row r="47" spans="3:28">
      <c r="C47" s="25"/>
      <c r="D47" s="19"/>
      <c r="E47" s="19"/>
      <c r="F47" s="19"/>
      <c r="G47" s="25"/>
      <c r="H47" s="25"/>
      <c r="I47" s="25"/>
      <c r="J47" s="25"/>
      <c r="K47" s="25"/>
      <c r="L47" s="25"/>
      <c r="M47" s="19"/>
      <c r="N47" s="19"/>
      <c r="O47" s="19"/>
      <c r="P47" s="19"/>
      <c r="Q47" s="19"/>
      <c r="R47" s="19"/>
      <c r="S47" s="19"/>
    </row>
    <row r="48" spans="3:28">
      <c r="C48" s="25"/>
      <c r="D48" s="19"/>
      <c r="E48" s="19"/>
      <c r="F48" s="19"/>
      <c r="G48" s="25"/>
      <c r="H48" s="25"/>
      <c r="I48" s="25"/>
      <c r="J48" s="25"/>
      <c r="K48" s="25"/>
      <c r="L48" s="25"/>
      <c r="M48" s="19"/>
      <c r="N48" s="19"/>
      <c r="O48" s="19"/>
      <c r="P48" s="19"/>
      <c r="Q48" s="19"/>
      <c r="R48" s="19"/>
      <c r="S48" s="19"/>
    </row>
  </sheetData>
  <sheetProtection algorithmName="SHA-512" hashValue="mNd1XhuJev5zr4/17gSrBlnWaBJhzKy04EPdlcHRIRwyqAAf/7LauqpkjIR3ZJspx6o5ePagNWZr5W4PF9rBIA==" saltValue="TCUL1kbAsoWcancVKurIXw==" spinCount="100000" sheet="1" objects="1" scenarios="1"/>
  <mergeCells count="25">
    <mergeCell ref="O2:S2"/>
    <mergeCell ref="O4:S4"/>
    <mergeCell ref="R7:T7"/>
    <mergeCell ref="U7:V7"/>
    <mergeCell ref="J7:Q7"/>
    <mergeCell ref="C6:AB6"/>
    <mergeCell ref="C10:AA10"/>
    <mergeCell ref="F11:H11"/>
    <mergeCell ref="I14:K15"/>
    <mergeCell ref="O11:R12"/>
    <mergeCell ref="C11:E11"/>
    <mergeCell ref="I11:K11"/>
    <mergeCell ref="L11:N12"/>
    <mergeCell ref="C29:D29"/>
    <mergeCell ref="L13:N14"/>
    <mergeCell ref="C19:P26"/>
    <mergeCell ref="Q19:X19"/>
    <mergeCell ref="Q25:X29"/>
    <mergeCell ref="C14:E15"/>
    <mergeCell ref="C13:E13"/>
    <mergeCell ref="F15:H15"/>
    <mergeCell ref="F12:H13"/>
    <mergeCell ref="F14:H14"/>
    <mergeCell ref="I12:K13"/>
    <mergeCell ref="C12:E12"/>
  </mergeCells>
  <conditionalFormatting sqref="I9">
    <cfRule type="containsText" dxfId="14" priority="2" operator="containsText" text="80">
      <formula>NOT(ISERROR(SEARCH("80",I9)))</formula>
    </cfRule>
  </conditionalFormatting>
  <conditionalFormatting sqref="O11">
    <cfRule type="expression" dxfId="13" priority="1">
      <formula>AND($Q$9&lt;3000)=TRUE</formula>
    </cfRule>
  </conditionalFormatting>
  <conditionalFormatting sqref="T9">
    <cfRule type="containsText" dxfId="12" priority="9" operator="containsText" text="460">
      <formula>NOT(ISERROR(SEARCH("460",T9)))</formula>
    </cfRule>
  </conditionalFormatting>
  <conditionalFormatting sqref="U9">
    <cfRule type="containsText" dxfId="11" priority="7" operator="containsText" text="19">
      <formula>NOT(ISERROR(SEARCH("19",U9)))</formula>
    </cfRule>
    <cfRule type="containsText" dxfId="10" priority="8" operator="containsText" text="10">
      <formula>NOT(ISERROR(SEARCH("10",U9)))</formula>
    </cfRule>
  </conditionalFormatting>
  <conditionalFormatting sqref="V39">
    <cfRule type="expression" dxfId="9" priority="4">
      <formula>AND($R$9&lt;3000)=TRUE</formula>
    </cfRule>
  </conditionalFormatting>
  <conditionalFormatting sqref="Z11 V41">
    <cfRule type="expression" dxfId="8" priority="5">
      <formula>AND($R$9&lt;3000)=TRUE</formula>
    </cfRule>
  </conditionalFormatting>
  <dataValidations count="1">
    <dataValidation type="list" allowBlank="1" showInputMessage="1" showErrorMessage="1" sqref="O4:S4" xr:uid="{00000000-0002-0000-0400-000000000000}">
      <formula1>MLX</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L118"/>
  <sheetViews>
    <sheetView zoomScale="90" zoomScaleNormal="90" workbookViewId="0">
      <pane xSplit="1" ySplit="3" topLeftCell="B4" activePane="bottomRight" state="frozenSplit"/>
      <selection pane="topRight" activeCell="J1" sqref="J1"/>
      <selection pane="bottomLeft" activeCell="A12" sqref="A12"/>
      <selection pane="bottomRight" activeCell="W114" sqref="W114"/>
    </sheetView>
  </sheetViews>
  <sheetFormatPr defaultColWidth="10.875" defaultRowHeight="15.75"/>
  <cols>
    <col min="1" max="1" width="33.75" customWidth="1"/>
    <col min="2" max="2" width="10.875" customWidth="1"/>
    <col min="5" max="5" width="13.625" customWidth="1"/>
    <col min="6" max="7" width="12" customWidth="1"/>
    <col min="8" max="8" width="12.5" customWidth="1"/>
    <col min="11" max="11" width="11.375" customWidth="1"/>
    <col min="18" max="18" width="15.5" customWidth="1"/>
    <col min="20" max="20" width="12" customWidth="1"/>
    <col min="21" max="21" width="15.875" bestFit="1" customWidth="1"/>
    <col min="24" max="24" width="12.625" customWidth="1"/>
    <col min="25" max="25" width="13.375" customWidth="1"/>
    <col min="26" max="26" width="13.5" customWidth="1"/>
    <col min="27" max="27" width="28" customWidth="1"/>
    <col min="28" max="29" width="36" customWidth="1"/>
  </cols>
  <sheetData>
    <row r="1" spans="1:31" ht="17.100000000000001" customHeight="1">
      <c r="B1" s="212" t="s">
        <v>4</v>
      </c>
      <c r="C1" s="212"/>
      <c r="D1" s="212"/>
      <c r="E1" s="212"/>
      <c r="F1" s="212"/>
      <c r="G1" s="212"/>
      <c r="H1" s="212"/>
      <c r="I1" s="212"/>
      <c r="J1" s="212"/>
      <c r="K1" s="212"/>
      <c r="L1" s="212"/>
      <c r="M1" s="212"/>
      <c r="N1" s="212"/>
      <c r="O1" s="212"/>
      <c r="P1" s="212"/>
      <c r="Q1" s="212"/>
      <c r="R1" s="212"/>
      <c r="S1" s="212"/>
      <c r="T1" s="212"/>
      <c r="U1" s="212"/>
      <c r="V1" s="212"/>
      <c r="W1" s="212"/>
      <c r="X1" s="212"/>
      <c r="Y1" s="212"/>
      <c r="Z1" s="212"/>
      <c r="AA1" s="212"/>
    </row>
    <row r="2" spans="1:31">
      <c r="B2" s="75"/>
      <c r="C2" s="75"/>
      <c r="D2" s="75"/>
      <c r="E2" s="75"/>
      <c r="F2" s="75"/>
      <c r="G2" s="75"/>
      <c r="H2" s="209" t="s">
        <v>5</v>
      </c>
      <c r="I2" s="211"/>
      <c r="J2" s="211"/>
      <c r="K2" s="211"/>
      <c r="L2" s="211"/>
      <c r="M2" s="211"/>
      <c r="N2" s="211"/>
      <c r="O2" s="210"/>
      <c r="P2" s="209" t="s">
        <v>6</v>
      </c>
      <c r="Q2" s="211"/>
      <c r="R2" s="210"/>
      <c r="S2" s="212" t="s">
        <v>7</v>
      </c>
      <c r="T2" s="212"/>
      <c r="U2" s="212"/>
      <c r="V2" s="141"/>
      <c r="W2" s="141"/>
      <c r="X2" s="141"/>
      <c r="Y2" s="141"/>
      <c r="Z2" s="141"/>
      <c r="AA2" s="141"/>
      <c r="AB2" s="1"/>
    </row>
    <row r="3" spans="1:31" ht="44.1" customHeight="1">
      <c r="A3" s="5"/>
      <c r="B3" s="76" t="s">
        <v>8</v>
      </c>
      <c r="C3" s="76" t="s">
        <v>9</v>
      </c>
      <c r="D3" s="76" t="s">
        <v>10</v>
      </c>
      <c r="E3" s="77" t="s">
        <v>11</v>
      </c>
      <c r="F3" s="76" t="s">
        <v>12</v>
      </c>
      <c r="G3" s="77" t="s">
        <v>13</v>
      </c>
      <c r="H3" s="76" t="s">
        <v>14</v>
      </c>
      <c r="I3" s="77" t="s">
        <v>15</v>
      </c>
      <c r="J3" s="76" t="s">
        <v>16</v>
      </c>
      <c r="K3" s="76" t="s">
        <v>17</v>
      </c>
      <c r="L3" s="76" t="s">
        <v>113</v>
      </c>
      <c r="M3" s="76" t="s">
        <v>19</v>
      </c>
      <c r="N3" s="76" t="s">
        <v>20</v>
      </c>
      <c r="O3" s="76" t="s">
        <v>145</v>
      </c>
      <c r="P3" s="76" t="s">
        <v>22</v>
      </c>
      <c r="Q3" s="76" t="s">
        <v>23</v>
      </c>
      <c r="R3" s="126" t="s">
        <v>115</v>
      </c>
      <c r="S3" s="76" t="s">
        <v>25</v>
      </c>
      <c r="T3" s="76" t="s">
        <v>26</v>
      </c>
      <c r="U3" s="76" t="s">
        <v>27</v>
      </c>
      <c r="V3" s="76" t="s">
        <v>116</v>
      </c>
      <c r="W3" s="76" t="s">
        <v>29</v>
      </c>
      <c r="X3" s="77" t="s">
        <v>30</v>
      </c>
      <c r="Y3" s="76" t="s">
        <v>146</v>
      </c>
      <c r="Z3" s="77" t="s">
        <v>32</v>
      </c>
      <c r="AA3" s="76" t="s">
        <v>33</v>
      </c>
      <c r="AB3" s="137" t="s">
        <v>147</v>
      </c>
      <c r="AC3" s="138" t="s">
        <v>148</v>
      </c>
    </row>
    <row r="4" spans="1:31" ht="36.950000000000003" customHeight="1">
      <c r="A4" s="5" t="s">
        <v>149</v>
      </c>
      <c r="B4" s="78" t="s">
        <v>34</v>
      </c>
      <c r="C4" s="78" t="s">
        <v>35</v>
      </c>
      <c r="D4" s="78" t="s">
        <v>36</v>
      </c>
      <c r="E4" s="79" t="s">
        <v>38</v>
      </c>
      <c r="F4" s="80" t="s">
        <v>38</v>
      </c>
      <c r="G4" s="75"/>
      <c r="H4" s="81" t="s">
        <v>38</v>
      </c>
      <c r="I4" s="81"/>
      <c r="J4" s="78" t="s">
        <v>150</v>
      </c>
      <c r="K4" s="76">
        <v>160</v>
      </c>
      <c r="L4" s="81" t="s">
        <v>38</v>
      </c>
      <c r="M4" s="81" t="s">
        <v>38</v>
      </c>
      <c r="N4" s="80" t="s">
        <v>38</v>
      </c>
      <c r="O4" s="80" t="s">
        <v>38</v>
      </c>
      <c r="P4" s="76" t="s">
        <v>151</v>
      </c>
      <c r="Q4" s="80" t="s">
        <v>38</v>
      </c>
      <c r="R4" s="80" t="s">
        <v>38</v>
      </c>
      <c r="S4" s="80" t="s">
        <v>38</v>
      </c>
      <c r="T4" s="80" t="s">
        <v>38</v>
      </c>
      <c r="U4" s="80" t="s">
        <v>38</v>
      </c>
      <c r="V4" s="80" t="s">
        <v>38</v>
      </c>
      <c r="W4" s="80" t="s">
        <v>38</v>
      </c>
      <c r="X4" s="80"/>
      <c r="Y4" s="76" t="s">
        <v>40</v>
      </c>
      <c r="Z4" s="76" t="s">
        <v>41</v>
      </c>
      <c r="AA4" s="80" t="s">
        <v>38</v>
      </c>
      <c r="AB4" s="14" t="s">
        <v>152</v>
      </c>
      <c r="AC4" s="6" t="s">
        <v>153</v>
      </c>
      <c r="AD4" s="40"/>
    </row>
    <row r="5" spans="1:31" ht="25.5">
      <c r="A5" s="2" t="s">
        <v>154</v>
      </c>
      <c r="B5" s="78" t="s">
        <v>34</v>
      </c>
      <c r="C5" s="78" t="s">
        <v>35</v>
      </c>
      <c r="D5" s="78" t="s">
        <v>36</v>
      </c>
      <c r="E5" s="76" t="s">
        <v>37</v>
      </c>
      <c r="F5" s="76" t="s">
        <v>155</v>
      </c>
      <c r="G5" s="76">
        <v>95.5</v>
      </c>
      <c r="H5" s="81" t="s">
        <v>38</v>
      </c>
      <c r="I5" s="81">
        <v>16.25</v>
      </c>
      <c r="J5" s="78" t="s">
        <v>150</v>
      </c>
      <c r="K5" s="76">
        <v>160</v>
      </c>
      <c r="L5" s="81" t="s">
        <v>38</v>
      </c>
      <c r="M5" s="81" t="s">
        <v>38</v>
      </c>
      <c r="N5" s="76" t="s">
        <v>156</v>
      </c>
      <c r="O5" s="76" t="s">
        <v>157</v>
      </c>
      <c r="P5" s="76" t="s">
        <v>151</v>
      </c>
      <c r="Q5" s="76">
        <v>750</v>
      </c>
      <c r="R5" s="82" t="s">
        <v>158</v>
      </c>
      <c r="S5" s="76" t="s">
        <v>159</v>
      </c>
      <c r="T5" s="76">
        <v>13</v>
      </c>
      <c r="U5" s="83">
        <v>1</v>
      </c>
      <c r="V5" s="76" t="s">
        <v>160</v>
      </c>
      <c r="W5" s="76">
        <v>820</v>
      </c>
      <c r="X5" s="77" t="s">
        <v>39</v>
      </c>
      <c r="Y5" s="76" t="s">
        <v>40</v>
      </c>
      <c r="Z5" s="76" t="s">
        <v>41</v>
      </c>
      <c r="AA5" s="76" t="s">
        <v>161</v>
      </c>
      <c r="AB5" s="14" t="s">
        <v>162</v>
      </c>
      <c r="AC5" s="6" t="s">
        <v>122</v>
      </c>
      <c r="AD5" s="40"/>
    </row>
    <row r="6" spans="1:31" ht="25.5">
      <c r="A6" s="3" t="s">
        <v>163</v>
      </c>
      <c r="B6" s="78" t="s">
        <v>34</v>
      </c>
      <c r="C6" s="78" t="s">
        <v>35</v>
      </c>
      <c r="D6" s="78" t="s">
        <v>36</v>
      </c>
      <c r="E6" s="76" t="s">
        <v>37</v>
      </c>
      <c r="F6" s="76" t="s">
        <v>164</v>
      </c>
      <c r="G6" s="76">
        <v>96.8</v>
      </c>
      <c r="H6" s="81" t="s">
        <v>38</v>
      </c>
      <c r="I6" s="81">
        <v>14.25</v>
      </c>
      <c r="J6" s="78" t="s">
        <v>150</v>
      </c>
      <c r="K6" s="76">
        <v>160</v>
      </c>
      <c r="L6" s="81" t="s">
        <v>38</v>
      </c>
      <c r="M6" s="81" t="s">
        <v>38</v>
      </c>
      <c r="N6" s="76" t="s">
        <v>156</v>
      </c>
      <c r="O6" s="76" t="s">
        <v>157</v>
      </c>
      <c r="P6" s="76" t="s">
        <v>151</v>
      </c>
      <c r="Q6" s="76">
        <v>1000</v>
      </c>
      <c r="R6" s="82" t="s">
        <v>158</v>
      </c>
      <c r="S6" s="76" t="s">
        <v>159</v>
      </c>
      <c r="T6" s="76">
        <v>13</v>
      </c>
      <c r="U6" s="83">
        <v>1</v>
      </c>
      <c r="V6" s="76" t="s">
        <v>160</v>
      </c>
      <c r="W6" s="76">
        <v>820</v>
      </c>
      <c r="X6" s="77" t="s">
        <v>39</v>
      </c>
      <c r="Y6" s="76" t="s">
        <v>40</v>
      </c>
      <c r="Z6" s="76" t="s">
        <v>41</v>
      </c>
      <c r="AA6" s="76" t="s">
        <v>165</v>
      </c>
      <c r="AB6" s="14" t="s">
        <v>166</v>
      </c>
      <c r="AC6" s="6" t="s">
        <v>122</v>
      </c>
      <c r="AD6" s="40"/>
    </row>
    <row r="7" spans="1:31" ht="25.5">
      <c r="A7" s="2" t="s">
        <v>167</v>
      </c>
      <c r="B7" s="78" t="s">
        <v>34</v>
      </c>
      <c r="C7" s="78" t="s">
        <v>35</v>
      </c>
      <c r="D7" s="78" t="s">
        <v>36</v>
      </c>
      <c r="E7" s="76" t="s">
        <v>37</v>
      </c>
      <c r="F7" s="76" t="s">
        <v>168</v>
      </c>
      <c r="G7" s="76">
        <v>94.6</v>
      </c>
      <c r="H7" s="81" t="s">
        <v>38</v>
      </c>
      <c r="I7" s="81">
        <v>44</v>
      </c>
      <c r="J7" s="78" t="s">
        <v>150</v>
      </c>
      <c r="K7" s="76">
        <v>160</v>
      </c>
      <c r="L7" s="81" t="s">
        <v>38</v>
      </c>
      <c r="M7" s="81" t="s">
        <v>38</v>
      </c>
      <c r="N7" s="76" t="s">
        <v>169</v>
      </c>
      <c r="O7" s="76" t="s">
        <v>170</v>
      </c>
      <c r="P7" s="76" t="s">
        <v>151</v>
      </c>
      <c r="Q7" s="76">
        <v>1500</v>
      </c>
      <c r="R7" s="82" t="s">
        <v>158</v>
      </c>
      <c r="S7" s="76" t="s">
        <v>159</v>
      </c>
      <c r="T7" s="76">
        <v>16</v>
      </c>
      <c r="U7" s="83">
        <v>1.6</v>
      </c>
      <c r="V7" s="76" t="s">
        <v>171</v>
      </c>
      <c r="W7" s="76">
        <v>1654</v>
      </c>
      <c r="X7" s="77" t="s">
        <v>39</v>
      </c>
      <c r="Y7" s="76" t="s">
        <v>40</v>
      </c>
      <c r="Z7" s="76" t="s">
        <v>41</v>
      </c>
      <c r="AA7" s="76" t="s">
        <v>172</v>
      </c>
      <c r="AB7" s="14" t="s">
        <v>166</v>
      </c>
      <c r="AC7" s="6" t="s">
        <v>122</v>
      </c>
      <c r="AD7" s="40"/>
    </row>
    <row r="8" spans="1:31" ht="25.5">
      <c r="A8" s="3" t="s">
        <v>173</v>
      </c>
      <c r="B8" s="78" t="s">
        <v>34</v>
      </c>
      <c r="C8" s="78" t="s">
        <v>35</v>
      </c>
      <c r="D8" s="78" t="s">
        <v>36</v>
      </c>
      <c r="E8" s="76" t="s">
        <v>37</v>
      </c>
      <c r="F8" s="76" t="s">
        <v>174</v>
      </c>
      <c r="G8" s="76">
        <v>94.6</v>
      </c>
      <c r="H8" s="81" t="s">
        <v>38</v>
      </c>
      <c r="I8" s="81">
        <v>40</v>
      </c>
      <c r="J8" s="78" t="s">
        <v>150</v>
      </c>
      <c r="K8" s="76">
        <v>160</v>
      </c>
      <c r="L8" s="81" t="s">
        <v>38</v>
      </c>
      <c r="M8" s="81" t="s">
        <v>38</v>
      </c>
      <c r="N8" s="76" t="s">
        <v>175</v>
      </c>
      <c r="O8" s="76" t="s">
        <v>170</v>
      </c>
      <c r="P8" s="76" t="s">
        <v>151</v>
      </c>
      <c r="Q8" s="76">
        <v>2000</v>
      </c>
      <c r="R8" s="82" t="s">
        <v>158</v>
      </c>
      <c r="S8" s="76" t="s">
        <v>159</v>
      </c>
      <c r="T8" s="76">
        <v>16</v>
      </c>
      <c r="U8" s="83">
        <v>1.6</v>
      </c>
      <c r="V8" s="76" t="s">
        <v>176</v>
      </c>
      <c r="W8" s="76">
        <v>1654</v>
      </c>
      <c r="X8" s="77" t="s">
        <v>39</v>
      </c>
      <c r="Y8" s="76" t="s">
        <v>40</v>
      </c>
      <c r="Z8" s="76" t="s">
        <v>41</v>
      </c>
      <c r="AA8" s="76" t="s">
        <v>177</v>
      </c>
      <c r="AB8" s="14" t="s">
        <v>166</v>
      </c>
      <c r="AC8" s="6" t="s">
        <v>122</v>
      </c>
      <c r="AD8" s="40"/>
    </row>
    <row r="9" spans="1:31" ht="25.5">
      <c r="A9" s="2" t="s">
        <v>178</v>
      </c>
      <c r="B9" s="78" t="s">
        <v>34</v>
      </c>
      <c r="C9" s="78" t="s">
        <v>35</v>
      </c>
      <c r="D9" s="78" t="s">
        <v>36</v>
      </c>
      <c r="E9" s="76" t="s">
        <v>37</v>
      </c>
      <c r="F9" s="76" t="s">
        <v>179</v>
      </c>
      <c r="G9" s="76">
        <v>93.5</v>
      </c>
      <c r="H9" s="81" t="s">
        <v>38</v>
      </c>
      <c r="I9" s="81">
        <v>58</v>
      </c>
      <c r="J9" s="78" t="s">
        <v>150</v>
      </c>
      <c r="K9" s="76">
        <v>160</v>
      </c>
      <c r="L9" s="81" t="s">
        <v>38</v>
      </c>
      <c r="M9" s="81" t="s">
        <v>38</v>
      </c>
      <c r="N9" s="76" t="s">
        <v>175</v>
      </c>
      <c r="O9" s="76" t="s">
        <v>180</v>
      </c>
      <c r="P9" s="76" t="s">
        <v>151</v>
      </c>
      <c r="Q9" s="76">
        <v>2500</v>
      </c>
      <c r="R9" s="82" t="s">
        <v>158</v>
      </c>
      <c r="S9" s="78" t="s">
        <v>181</v>
      </c>
      <c r="T9" s="78" t="s">
        <v>182</v>
      </c>
      <c r="U9" s="84" t="s">
        <v>183</v>
      </c>
      <c r="V9" s="76" t="s">
        <v>184</v>
      </c>
      <c r="W9" s="76">
        <v>2580</v>
      </c>
      <c r="X9" s="77" t="s">
        <v>39</v>
      </c>
      <c r="Y9" s="76" t="s">
        <v>40</v>
      </c>
      <c r="Z9" s="76" t="s">
        <v>41</v>
      </c>
      <c r="AA9" s="76" t="s">
        <v>185</v>
      </c>
      <c r="AB9" s="14" t="s">
        <v>162</v>
      </c>
      <c r="AC9" s="6" t="s">
        <v>186</v>
      </c>
      <c r="AD9" s="40"/>
    </row>
    <row r="10" spans="1:31" ht="25.5">
      <c r="A10" s="3" t="s">
        <v>187</v>
      </c>
      <c r="B10" s="78" t="s">
        <v>34</v>
      </c>
      <c r="C10" s="78" t="s">
        <v>35</v>
      </c>
      <c r="D10" s="78" t="s">
        <v>36</v>
      </c>
      <c r="E10" s="76" t="s">
        <v>37</v>
      </c>
      <c r="F10" s="76" t="s">
        <v>188</v>
      </c>
      <c r="G10" s="76">
        <v>93.5</v>
      </c>
      <c r="H10" s="81" t="s">
        <v>38</v>
      </c>
      <c r="I10" s="81">
        <v>55</v>
      </c>
      <c r="J10" s="78" t="s">
        <v>150</v>
      </c>
      <c r="K10" s="76">
        <v>160</v>
      </c>
      <c r="L10" s="81" t="s">
        <v>38</v>
      </c>
      <c r="M10" s="81" t="s">
        <v>38</v>
      </c>
      <c r="N10" s="76" t="s">
        <v>189</v>
      </c>
      <c r="O10" s="76" t="s">
        <v>190</v>
      </c>
      <c r="P10" s="76" t="s">
        <v>151</v>
      </c>
      <c r="Q10" s="76">
        <v>3000</v>
      </c>
      <c r="R10" s="82" t="s">
        <v>158</v>
      </c>
      <c r="S10" s="78" t="s">
        <v>181</v>
      </c>
      <c r="T10" s="78" t="s">
        <v>182</v>
      </c>
      <c r="U10" s="84" t="s">
        <v>183</v>
      </c>
      <c r="V10" s="76" t="s">
        <v>184</v>
      </c>
      <c r="W10" s="76">
        <v>2580</v>
      </c>
      <c r="X10" s="77" t="s">
        <v>39</v>
      </c>
      <c r="Y10" s="76" t="s">
        <v>40</v>
      </c>
      <c r="Z10" s="76" t="s">
        <v>41</v>
      </c>
      <c r="AA10" s="76" t="s">
        <v>191</v>
      </c>
      <c r="AB10" s="14" t="s">
        <v>162</v>
      </c>
      <c r="AC10" s="6" t="s">
        <v>186</v>
      </c>
      <c r="AD10" s="40"/>
    </row>
    <row r="11" spans="1:31" ht="37.5" customHeight="1">
      <c r="A11" s="2" t="s">
        <v>3</v>
      </c>
      <c r="B11" s="78" t="s">
        <v>34</v>
      </c>
      <c r="C11" s="78" t="s">
        <v>35</v>
      </c>
      <c r="D11" s="78" t="s">
        <v>36</v>
      </c>
      <c r="E11" s="76" t="s">
        <v>37</v>
      </c>
      <c r="F11" s="145" t="s">
        <v>192</v>
      </c>
      <c r="G11" s="145">
        <v>95</v>
      </c>
      <c r="H11" s="81" t="s">
        <v>38</v>
      </c>
      <c r="I11" s="81">
        <v>75</v>
      </c>
      <c r="J11" s="78" t="s">
        <v>150</v>
      </c>
      <c r="K11" s="76">
        <v>160</v>
      </c>
      <c r="L11" s="81" t="s">
        <v>38</v>
      </c>
      <c r="M11" s="81" t="s">
        <v>38</v>
      </c>
      <c r="N11" s="145" t="s">
        <v>193</v>
      </c>
      <c r="O11" s="145" t="s">
        <v>194</v>
      </c>
      <c r="P11" s="76" t="s">
        <v>151</v>
      </c>
      <c r="Q11" s="76">
        <v>4000</v>
      </c>
      <c r="R11" s="146" t="s">
        <v>158</v>
      </c>
      <c r="S11" s="78" t="s">
        <v>181</v>
      </c>
      <c r="T11" s="147" t="s">
        <v>195</v>
      </c>
      <c r="U11" s="148" t="s">
        <v>196</v>
      </c>
      <c r="V11" s="76" t="s">
        <v>197</v>
      </c>
      <c r="W11" s="145">
        <v>2820</v>
      </c>
      <c r="X11" s="77" t="s">
        <v>39</v>
      </c>
      <c r="Y11" s="76" t="s">
        <v>40</v>
      </c>
      <c r="Z11" s="76" t="s">
        <v>41</v>
      </c>
      <c r="AA11" s="76" t="s">
        <v>198</v>
      </c>
      <c r="AB11" s="14" t="s">
        <v>162</v>
      </c>
      <c r="AC11" s="6" t="s">
        <v>186</v>
      </c>
      <c r="AD11" s="41"/>
    </row>
    <row r="12" spans="1:31" ht="25.5">
      <c r="A12" s="3" t="s">
        <v>199</v>
      </c>
      <c r="B12" s="78" t="s">
        <v>34</v>
      </c>
      <c r="C12" s="78" t="s">
        <v>35</v>
      </c>
      <c r="D12" s="78" t="s">
        <v>36</v>
      </c>
      <c r="E12" s="76" t="s">
        <v>37</v>
      </c>
      <c r="F12" s="145" t="s">
        <v>200</v>
      </c>
      <c r="G12" s="145">
        <v>95</v>
      </c>
      <c r="H12" s="81" t="s">
        <v>38</v>
      </c>
      <c r="I12" s="81">
        <v>75</v>
      </c>
      <c r="J12" s="78" t="s">
        <v>150</v>
      </c>
      <c r="K12" s="76">
        <v>160</v>
      </c>
      <c r="L12" s="81" t="s">
        <v>38</v>
      </c>
      <c r="M12" s="81" t="s">
        <v>38</v>
      </c>
      <c r="N12" s="145" t="s">
        <v>193</v>
      </c>
      <c r="O12" s="145" t="s">
        <v>194</v>
      </c>
      <c r="P12" s="76" t="s">
        <v>151</v>
      </c>
      <c r="Q12" s="76">
        <v>4990</v>
      </c>
      <c r="R12" s="146" t="s">
        <v>158</v>
      </c>
      <c r="S12" s="78" t="s">
        <v>181</v>
      </c>
      <c r="T12" s="147" t="s">
        <v>195</v>
      </c>
      <c r="U12" s="148" t="s">
        <v>196</v>
      </c>
      <c r="V12" s="76" t="s">
        <v>197</v>
      </c>
      <c r="W12" s="145">
        <v>2820</v>
      </c>
      <c r="X12" s="77" t="s">
        <v>39</v>
      </c>
      <c r="Y12" s="76" t="s">
        <v>40</v>
      </c>
      <c r="Z12" s="76" t="s">
        <v>41</v>
      </c>
      <c r="AA12" s="76" t="s">
        <v>201</v>
      </c>
      <c r="AB12" s="14" t="s">
        <v>166</v>
      </c>
      <c r="AC12" s="6" t="s">
        <v>186</v>
      </c>
      <c r="AD12" s="40"/>
    </row>
    <row r="13" spans="1:31" ht="37.5" customHeight="1">
      <c r="A13" s="2" t="s">
        <v>202</v>
      </c>
      <c r="B13" s="78" t="s">
        <v>34</v>
      </c>
      <c r="C13" s="78" t="s">
        <v>35</v>
      </c>
      <c r="D13" s="78" t="s">
        <v>36</v>
      </c>
      <c r="E13" s="76" t="s">
        <v>37</v>
      </c>
      <c r="F13" s="76" t="s">
        <v>203</v>
      </c>
      <c r="G13" s="76">
        <v>94.5</v>
      </c>
      <c r="H13" s="81" t="s">
        <v>38</v>
      </c>
      <c r="I13" s="81">
        <v>110</v>
      </c>
      <c r="J13" s="78" t="s">
        <v>150</v>
      </c>
      <c r="K13" s="78" t="s">
        <v>204</v>
      </c>
      <c r="L13" s="81" t="s">
        <v>38</v>
      </c>
      <c r="M13" s="81" t="s">
        <v>38</v>
      </c>
      <c r="N13" s="76" t="s">
        <v>205</v>
      </c>
      <c r="O13" s="76" t="s">
        <v>206</v>
      </c>
      <c r="P13" s="76" t="s">
        <v>151</v>
      </c>
      <c r="Q13" s="76">
        <v>5000</v>
      </c>
      <c r="R13" s="128" t="s">
        <v>207</v>
      </c>
      <c r="S13" s="78" t="s">
        <v>208</v>
      </c>
      <c r="T13" s="78" t="s">
        <v>209</v>
      </c>
      <c r="U13" s="83">
        <v>5</v>
      </c>
      <c r="V13" s="76" t="s">
        <v>210</v>
      </c>
      <c r="W13" s="76">
        <v>3920</v>
      </c>
      <c r="X13" s="77" t="s">
        <v>39</v>
      </c>
      <c r="Y13" s="76" t="s">
        <v>40</v>
      </c>
      <c r="Z13" s="76" t="s">
        <v>41</v>
      </c>
      <c r="AA13" s="76" t="s">
        <v>211</v>
      </c>
      <c r="AB13" s="14" t="s">
        <v>212</v>
      </c>
      <c r="AC13" s="6" t="s">
        <v>186</v>
      </c>
      <c r="AD13" s="41"/>
    </row>
    <row r="14" spans="1:31" ht="38.25">
      <c r="A14" s="3" t="s">
        <v>76</v>
      </c>
      <c r="B14" s="78" t="s">
        <v>34</v>
      </c>
      <c r="C14" s="78" t="s">
        <v>35</v>
      </c>
      <c r="D14" s="78" t="s">
        <v>36</v>
      </c>
      <c r="E14" s="76" t="s">
        <v>37</v>
      </c>
      <c r="F14" s="76" t="s">
        <v>213</v>
      </c>
      <c r="G14" s="76">
        <v>94.5</v>
      </c>
      <c r="H14" s="81" t="s">
        <v>38</v>
      </c>
      <c r="I14" s="81">
        <v>110</v>
      </c>
      <c r="J14" s="78" t="s">
        <v>150</v>
      </c>
      <c r="K14" s="78" t="s">
        <v>204</v>
      </c>
      <c r="L14" s="81" t="s">
        <v>38</v>
      </c>
      <c r="M14" s="81" t="s">
        <v>38</v>
      </c>
      <c r="N14" s="76" t="s">
        <v>205</v>
      </c>
      <c r="O14" s="76" t="s">
        <v>206</v>
      </c>
      <c r="P14" s="76" t="s">
        <v>151</v>
      </c>
      <c r="Q14" s="76">
        <v>6000</v>
      </c>
      <c r="R14" s="128" t="s">
        <v>207</v>
      </c>
      <c r="S14" s="78" t="s">
        <v>208</v>
      </c>
      <c r="T14" s="78" t="s">
        <v>209</v>
      </c>
      <c r="U14" s="83">
        <v>5</v>
      </c>
      <c r="V14" s="76" t="s">
        <v>210</v>
      </c>
      <c r="W14" s="76">
        <v>3920</v>
      </c>
      <c r="X14" s="77" t="s">
        <v>39</v>
      </c>
      <c r="Y14" s="76" t="s">
        <v>40</v>
      </c>
      <c r="Z14" s="76" t="s">
        <v>41</v>
      </c>
      <c r="AA14" s="76" t="s">
        <v>214</v>
      </c>
      <c r="AB14" s="14" t="s">
        <v>162</v>
      </c>
      <c r="AC14" s="6" t="s">
        <v>186</v>
      </c>
      <c r="AD14" s="41"/>
    </row>
    <row r="15" spans="1:31">
      <c r="A15" s="15"/>
      <c r="B15" s="10"/>
      <c r="C15" s="10"/>
      <c r="D15" s="10"/>
      <c r="E15" s="11"/>
      <c r="F15" s="11"/>
      <c r="H15" s="11"/>
      <c r="I15" s="10"/>
      <c r="J15" s="10"/>
      <c r="K15" s="10"/>
      <c r="L15" s="10"/>
      <c r="M15" s="11"/>
      <c r="N15" s="11"/>
      <c r="O15" s="11"/>
      <c r="P15" s="11"/>
      <c r="Q15" s="11"/>
      <c r="R15" s="12"/>
      <c r="S15" s="11"/>
      <c r="T15" s="11"/>
      <c r="U15" s="11"/>
      <c r="V15" s="10"/>
      <c r="W15" s="10"/>
      <c r="X15" s="10"/>
      <c r="Y15" s="11"/>
      <c r="Z15" s="11"/>
      <c r="AA15" s="11"/>
      <c r="AB15" s="11"/>
      <c r="AC15" s="14"/>
      <c r="AD15" s="6"/>
      <c r="AE15" s="4"/>
    </row>
    <row r="16" spans="1:31">
      <c r="A16" s="15"/>
      <c r="B16" s="10"/>
      <c r="C16" s="10"/>
      <c r="D16" s="10"/>
      <c r="E16" s="11"/>
      <c r="F16" s="11"/>
      <c r="H16" s="11"/>
      <c r="I16" s="10"/>
      <c r="J16" s="10"/>
      <c r="K16" s="10"/>
      <c r="L16" s="10"/>
      <c r="M16" s="11"/>
      <c r="N16" s="11"/>
      <c r="O16" s="11"/>
      <c r="P16" s="11"/>
      <c r="Q16" s="11"/>
      <c r="R16" s="12"/>
      <c r="S16" s="11"/>
      <c r="T16" s="11"/>
      <c r="U16" s="11"/>
      <c r="V16" s="10"/>
      <c r="W16" s="10"/>
      <c r="X16" s="10"/>
      <c r="Y16" s="11"/>
      <c r="Z16" s="11"/>
      <c r="AA16" s="11"/>
      <c r="AB16" s="11"/>
      <c r="AC16" s="14"/>
      <c r="AD16" s="6"/>
      <c r="AE16" s="4"/>
    </row>
    <row r="17" spans="1:37" ht="17.100000000000001" customHeight="1">
      <c r="B17" s="214" t="s">
        <v>4</v>
      </c>
      <c r="C17" s="214"/>
      <c r="D17" s="214"/>
      <c r="E17" s="214"/>
      <c r="F17" s="214"/>
      <c r="G17" s="214"/>
      <c r="H17" s="214"/>
      <c r="I17" s="214"/>
      <c r="J17" s="214"/>
      <c r="K17" s="214"/>
      <c r="L17" s="214"/>
      <c r="M17" s="214"/>
      <c r="N17" s="214"/>
      <c r="O17" s="214"/>
      <c r="P17" s="214"/>
      <c r="Q17" s="214"/>
      <c r="R17" s="214"/>
      <c r="S17" s="214"/>
      <c r="T17" s="214"/>
      <c r="U17" s="214"/>
      <c r="V17" s="214"/>
      <c r="W17" s="214"/>
      <c r="X17" s="214"/>
      <c r="Y17" s="214"/>
      <c r="Z17" s="214"/>
      <c r="AA17" s="214"/>
    </row>
    <row r="18" spans="1:37">
      <c r="B18" s="75"/>
      <c r="C18" s="75"/>
      <c r="D18" s="75"/>
      <c r="E18" s="75"/>
      <c r="F18" s="75"/>
      <c r="G18" s="75"/>
      <c r="H18" s="209" t="s">
        <v>5</v>
      </c>
      <c r="I18" s="211"/>
      <c r="J18" s="211"/>
      <c r="K18" s="211"/>
      <c r="L18" s="211"/>
      <c r="M18" s="211"/>
      <c r="N18" s="211"/>
      <c r="O18" s="210"/>
      <c r="P18" s="209" t="s">
        <v>6</v>
      </c>
      <c r="Q18" s="211"/>
      <c r="R18" s="210"/>
      <c r="S18" s="212" t="s">
        <v>7</v>
      </c>
      <c r="T18" s="212"/>
      <c r="U18" s="212"/>
      <c r="V18" s="141"/>
      <c r="W18" s="141"/>
      <c r="X18" s="141"/>
      <c r="Y18" s="141"/>
      <c r="Z18" s="141"/>
      <c r="AA18" s="141"/>
    </row>
    <row r="19" spans="1:37" ht="44.1" customHeight="1">
      <c r="A19" s="5"/>
      <c r="B19" s="76" t="s">
        <v>8</v>
      </c>
      <c r="C19" s="76" t="s">
        <v>9</v>
      </c>
      <c r="D19" s="76" t="s">
        <v>10</v>
      </c>
      <c r="E19" s="77" t="s">
        <v>11</v>
      </c>
      <c r="F19" s="76" t="s">
        <v>12</v>
      </c>
      <c r="G19" s="77" t="s">
        <v>13</v>
      </c>
      <c r="H19" s="76" t="s">
        <v>14</v>
      </c>
      <c r="I19" s="77" t="s">
        <v>15</v>
      </c>
      <c r="J19" s="76" t="s">
        <v>16</v>
      </c>
      <c r="K19" s="76" t="s">
        <v>17</v>
      </c>
      <c r="L19" s="76" t="s">
        <v>113</v>
      </c>
      <c r="M19" s="76" t="s">
        <v>19</v>
      </c>
      <c r="N19" s="76" t="s">
        <v>20</v>
      </c>
      <c r="O19" s="76" t="s">
        <v>145</v>
      </c>
      <c r="P19" s="76" t="s">
        <v>22</v>
      </c>
      <c r="Q19" s="76" t="s">
        <v>23</v>
      </c>
      <c r="R19" s="126" t="s">
        <v>115</v>
      </c>
      <c r="S19" s="76" t="s">
        <v>25</v>
      </c>
      <c r="T19" s="76" t="s">
        <v>26</v>
      </c>
      <c r="U19" s="76" t="s">
        <v>27</v>
      </c>
      <c r="V19" s="76" t="s">
        <v>116</v>
      </c>
      <c r="W19" s="76" t="s">
        <v>29</v>
      </c>
      <c r="X19" s="77" t="s">
        <v>30</v>
      </c>
      <c r="Y19" s="76" t="s">
        <v>146</v>
      </c>
      <c r="Z19" s="77" t="s">
        <v>32</v>
      </c>
      <c r="AA19" s="76" t="s">
        <v>33</v>
      </c>
    </row>
    <row r="20" spans="1:37" ht="36.950000000000003" customHeight="1">
      <c r="A20" s="5" t="s">
        <v>149</v>
      </c>
      <c r="B20" s="78" t="s">
        <v>34</v>
      </c>
      <c r="C20" s="78" t="s">
        <v>35</v>
      </c>
      <c r="D20" s="78" t="s">
        <v>36</v>
      </c>
      <c r="E20" s="79" t="s">
        <v>38</v>
      </c>
      <c r="F20" s="80" t="s">
        <v>38</v>
      </c>
      <c r="G20" s="75"/>
      <c r="H20" s="81" t="s">
        <v>38</v>
      </c>
      <c r="I20" s="81"/>
      <c r="J20" s="78"/>
      <c r="K20" s="76"/>
      <c r="L20" s="81" t="s">
        <v>38</v>
      </c>
      <c r="M20" s="81" t="s">
        <v>38</v>
      </c>
      <c r="N20" s="80" t="s">
        <v>38</v>
      </c>
      <c r="O20" s="80" t="s">
        <v>38</v>
      </c>
      <c r="P20" s="76"/>
      <c r="Q20" s="80" t="s">
        <v>38</v>
      </c>
      <c r="R20" s="80" t="s">
        <v>38</v>
      </c>
      <c r="S20" s="80" t="s">
        <v>38</v>
      </c>
      <c r="T20" s="80" t="s">
        <v>38</v>
      </c>
      <c r="U20" s="80" t="s">
        <v>38</v>
      </c>
      <c r="V20" s="80" t="s">
        <v>38</v>
      </c>
      <c r="W20" s="80" t="s">
        <v>38</v>
      </c>
      <c r="X20" s="80"/>
      <c r="Y20" s="76" t="s">
        <v>40</v>
      </c>
      <c r="Z20" s="76" t="s">
        <v>41</v>
      </c>
      <c r="AA20" s="80" t="s">
        <v>38</v>
      </c>
      <c r="AB20" s="14" t="s">
        <v>152</v>
      </c>
      <c r="AC20" s="6" t="s">
        <v>153</v>
      </c>
      <c r="AF20" s="40"/>
      <c r="AG20" s="40"/>
      <c r="AH20" s="40"/>
      <c r="AI20" s="40"/>
      <c r="AJ20" s="40"/>
      <c r="AK20" s="40"/>
    </row>
    <row r="21" spans="1:37" ht="25.5">
      <c r="A21" s="2" t="s">
        <v>215</v>
      </c>
      <c r="B21" s="78" t="s">
        <v>34</v>
      </c>
      <c r="C21" s="78" t="s">
        <v>35</v>
      </c>
      <c r="D21" s="78" t="s">
        <v>36</v>
      </c>
      <c r="E21" s="76" t="s">
        <v>37</v>
      </c>
      <c r="F21" s="76" t="s">
        <v>155</v>
      </c>
      <c r="G21" s="76">
        <v>95.5</v>
      </c>
      <c r="H21" s="81" t="s">
        <v>38</v>
      </c>
      <c r="I21" s="81">
        <v>16.25</v>
      </c>
      <c r="J21" s="78" t="s">
        <v>150</v>
      </c>
      <c r="K21" s="76">
        <v>160</v>
      </c>
      <c r="L21" s="81" t="s">
        <v>38</v>
      </c>
      <c r="M21" s="81" t="s">
        <v>38</v>
      </c>
      <c r="N21" s="76" t="s">
        <v>156</v>
      </c>
      <c r="O21" s="76" t="s">
        <v>157</v>
      </c>
      <c r="P21" s="76" t="s">
        <v>151</v>
      </c>
      <c r="Q21" s="76">
        <v>750</v>
      </c>
      <c r="R21" s="82" t="s">
        <v>158</v>
      </c>
      <c r="S21" s="76" t="s">
        <v>159</v>
      </c>
      <c r="T21" s="76">
        <v>13</v>
      </c>
      <c r="U21" s="83">
        <v>1</v>
      </c>
      <c r="V21" s="76" t="s">
        <v>160</v>
      </c>
      <c r="W21" s="76">
        <v>820</v>
      </c>
      <c r="X21" s="77" t="s">
        <v>39</v>
      </c>
      <c r="Y21" s="76" t="s">
        <v>40</v>
      </c>
      <c r="Z21" s="76" t="s">
        <v>41</v>
      </c>
      <c r="AA21" s="76" t="s">
        <v>216</v>
      </c>
      <c r="AB21" s="14" t="s">
        <v>162</v>
      </c>
      <c r="AC21" s="6" t="s">
        <v>122</v>
      </c>
    </row>
    <row r="22" spans="1:37" ht="23.1" customHeight="1">
      <c r="A22" s="3" t="s">
        <v>217</v>
      </c>
      <c r="B22" s="78" t="s">
        <v>34</v>
      </c>
      <c r="C22" s="78" t="s">
        <v>35</v>
      </c>
      <c r="D22" s="78" t="s">
        <v>36</v>
      </c>
      <c r="E22" s="76" t="s">
        <v>37</v>
      </c>
      <c r="F22" s="76" t="s">
        <v>164</v>
      </c>
      <c r="G22" s="76">
        <v>96.8</v>
      </c>
      <c r="H22" s="81" t="s">
        <v>38</v>
      </c>
      <c r="I22" s="81">
        <v>14.25</v>
      </c>
      <c r="J22" s="78" t="s">
        <v>150</v>
      </c>
      <c r="K22" s="76">
        <v>160</v>
      </c>
      <c r="L22" s="81" t="s">
        <v>38</v>
      </c>
      <c r="M22" s="81" t="s">
        <v>38</v>
      </c>
      <c r="N22" s="76" t="s">
        <v>156</v>
      </c>
      <c r="O22" s="76" t="s">
        <v>157</v>
      </c>
      <c r="P22" s="76" t="s">
        <v>151</v>
      </c>
      <c r="Q22" s="76">
        <v>1000</v>
      </c>
      <c r="R22" s="82" t="s">
        <v>158</v>
      </c>
      <c r="S22" s="76" t="s">
        <v>159</v>
      </c>
      <c r="T22" s="76">
        <v>13</v>
      </c>
      <c r="U22" s="83">
        <v>1</v>
      </c>
      <c r="V22" s="76" t="s">
        <v>160</v>
      </c>
      <c r="W22" s="76">
        <v>820</v>
      </c>
      <c r="X22" s="77" t="s">
        <v>39</v>
      </c>
      <c r="Y22" s="76" t="s">
        <v>40</v>
      </c>
      <c r="Z22" s="76" t="s">
        <v>41</v>
      </c>
      <c r="AA22" s="76" t="s">
        <v>218</v>
      </c>
      <c r="AB22" s="14" t="s">
        <v>166</v>
      </c>
      <c r="AC22" s="6" t="s">
        <v>122</v>
      </c>
    </row>
    <row r="23" spans="1:37" ht="25.5">
      <c r="A23" s="2" t="s">
        <v>219</v>
      </c>
      <c r="B23" s="78" t="s">
        <v>34</v>
      </c>
      <c r="C23" s="78" t="s">
        <v>35</v>
      </c>
      <c r="D23" s="78" t="s">
        <v>36</v>
      </c>
      <c r="E23" s="76" t="s">
        <v>37</v>
      </c>
      <c r="F23" s="76" t="s">
        <v>168</v>
      </c>
      <c r="G23" s="76">
        <v>94.6</v>
      </c>
      <c r="H23" s="81" t="s">
        <v>38</v>
      </c>
      <c r="I23" s="81">
        <v>44</v>
      </c>
      <c r="J23" s="78" t="s">
        <v>150</v>
      </c>
      <c r="K23" s="76">
        <v>160</v>
      </c>
      <c r="L23" s="81" t="s">
        <v>38</v>
      </c>
      <c r="M23" s="81" t="s">
        <v>38</v>
      </c>
      <c r="N23" s="76" t="s">
        <v>169</v>
      </c>
      <c r="O23" s="76" t="s">
        <v>170</v>
      </c>
      <c r="P23" s="76" t="s">
        <v>151</v>
      </c>
      <c r="Q23" s="76">
        <v>1500</v>
      </c>
      <c r="R23" s="82" t="s">
        <v>158</v>
      </c>
      <c r="S23" s="76" t="s">
        <v>159</v>
      </c>
      <c r="T23" s="76">
        <v>16</v>
      </c>
      <c r="U23" s="83">
        <v>1.6</v>
      </c>
      <c r="V23" s="76" t="s">
        <v>171</v>
      </c>
      <c r="W23" s="76">
        <v>1654</v>
      </c>
      <c r="X23" s="77" t="s">
        <v>39</v>
      </c>
      <c r="Y23" s="76" t="s">
        <v>40</v>
      </c>
      <c r="Z23" s="76" t="s">
        <v>41</v>
      </c>
      <c r="AA23" s="76" t="s">
        <v>220</v>
      </c>
      <c r="AB23" s="14" t="s">
        <v>166</v>
      </c>
      <c r="AC23" s="6" t="s">
        <v>122</v>
      </c>
    </row>
    <row r="24" spans="1:37" ht="25.5">
      <c r="A24" s="3" t="s">
        <v>221</v>
      </c>
      <c r="B24" s="78" t="s">
        <v>34</v>
      </c>
      <c r="C24" s="78" t="s">
        <v>35</v>
      </c>
      <c r="D24" s="78" t="s">
        <v>36</v>
      </c>
      <c r="E24" s="76" t="s">
        <v>37</v>
      </c>
      <c r="F24" s="76" t="s">
        <v>174</v>
      </c>
      <c r="G24" s="76">
        <v>94.6</v>
      </c>
      <c r="H24" s="81" t="s">
        <v>38</v>
      </c>
      <c r="I24" s="81">
        <v>40</v>
      </c>
      <c r="J24" s="78" t="s">
        <v>150</v>
      </c>
      <c r="K24" s="76">
        <v>160</v>
      </c>
      <c r="L24" s="81" t="s">
        <v>38</v>
      </c>
      <c r="M24" s="81" t="s">
        <v>38</v>
      </c>
      <c r="N24" s="76" t="s">
        <v>175</v>
      </c>
      <c r="O24" s="76" t="s">
        <v>170</v>
      </c>
      <c r="P24" s="76" t="s">
        <v>151</v>
      </c>
      <c r="Q24" s="76">
        <v>2000</v>
      </c>
      <c r="R24" s="82" t="s">
        <v>158</v>
      </c>
      <c r="S24" s="76" t="s">
        <v>159</v>
      </c>
      <c r="T24" s="76">
        <v>16</v>
      </c>
      <c r="U24" s="83">
        <v>1.6</v>
      </c>
      <c r="V24" s="76" t="s">
        <v>176</v>
      </c>
      <c r="W24" s="76">
        <v>1654</v>
      </c>
      <c r="X24" s="77" t="s">
        <v>39</v>
      </c>
      <c r="Y24" s="76" t="s">
        <v>40</v>
      </c>
      <c r="Z24" s="76" t="s">
        <v>41</v>
      </c>
      <c r="AA24" s="76" t="s">
        <v>222</v>
      </c>
      <c r="AB24" s="14" t="s">
        <v>166</v>
      </c>
      <c r="AC24" s="6" t="s">
        <v>122</v>
      </c>
    </row>
    <row r="25" spans="1:37" ht="25.5">
      <c r="A25" s="2" t="s">
        <v>223</v>
      </c>
      <c r="B25" s="78" t="s">
        <v>34</v>
      </c>
      <c r="C25" s="78" t="s">
        <v>35</v>
      </c>
      <c r="D25" s="78" t="s">
        <v>36</v>
      </c>
      <c r="E25" s="76" t="s">
        <v>37</v>
      </c>
      <c r="F25" s="76" t="s">
        <v>179</v>
      </c>
      <c r="G25" s="76">
        <v>93.5</v>
      </c>
      <c r="H25" s="81" t="s">
        <v>38</v>
      </c>
      <c r="I25" s="81">
        <v>58</v>
      </c>
      <c r="J25" s="78" t="s">
        <v>150</v>
      </c>
      <c r="K25" s="76">
        <v>160</v>
      </c>
      <c r="L25" s="81" t="s">
        <v>38</v>
      </c>
      <c r="M25" s="81" t="s">
        <v>38</v>
      </c>
      <c r="N25" s="76" t="s">
        <v>175</v>
      </c>
      <c r="O25" s="76" t="s">
        <v>180</v>
      </c>
      <c r="P25" s="76" t="s">
        <v>151</v>
      </c>
      <c r="Q25" s="76">
        <v>2500</v>
      </c>
      <c r="R25" s="82" t="s">
        <v>158</v>
      </c>
      <c r="S25" s="78" t="s">
        <v>181</v>
      </c>
      <c r="T25" s="78" t="s">
        <v>182</v>
      </c>
      <c r="U25" s="84" t="s">
        <v>183</v>
      </c>
      <c r="V25" s="76" t="s">
        <v>184</v>
      </c>
      <c r="W25" s="76">
        <v>2580</v>
      </c>
      <c r="X25" s="77" t="s">
        <v>39</v>
      </c>
      <c r="Y25" s="76" t="s">
        <v>40</v>
      </c>
      <c r="Z25" s="76" t="s">
        <v>41</v>
      </c>
      <c r="AA25" s="76" t="s">
        <v>224</v>
      </c>
      <c r="AB25" s="14" t="s">
        <v>162</v>
      </c>
      <c r="AC25" s="6" t="s">
        <v>186</v>
      </c>
    </row>
    <row r="26" spans="1:37" ht="25.5">
      <c r="A26" s="3" t="s">
        <v>225</v>
      </c>
      <c r="B26" s="78" t="s">
        <v>34</v>
      </c>
      <c r="C26" s="78" t="s">
        <v>35</v>
      </c>
      <c r="D26" s="78" t="s">
        <v>36</v>
      </c>
      <c r="E26" s="76" t="s">
        <v>37</v>
      </c>
      <c r="F26" s="76" t="s">
        <v>188</v>
      </c>
      <c r="G26" s="76">
        <v>93.5</v>
      </c>
      <c r="H26" s="81" t="s">
        <v>38</v>
      </c>
      <c r="I26" s="81">
        <v>55</v>
      </c>
      <c r="J26" s="78" t="s">
        <v>150</v>
      </c>
      <c r="K26" s="76">
        <v>160</v>
      </c>
      <c r="L26" s="81" t="s">
        <v>38</v>
      </c>
      <c r="M26" s="81" t="s">
        <v>38</v>
      </c>
      <c r="N26" s="76" t="s">
        <v>189</v>
      </c>
      <c r="O26" s="76" t="s">
        <v>190</v>
      </c>
      <c r="P26" s="76" t="s">
        <v>151</v>
      </c>
      <c r="Q26" s="76">
        <v>3000</v>
      </c>
      <c r="R26" s="82" t="s">
        <v>158</v>
      </c>
      <c r="S26" s="78" t="s">
        <v>181</v>
      </c>
      <c r="T26" s="78" t="s">
        <v>182</v>
      </c>
      <c r="U26" s="84" t="s">
        <v>183</v>
      </c>
      <c r="V26" s="76" t="s">
        <v>184</v>
      </c>
      <c r="W26" s="76">
        <v>2580</v>
      </c>
      <c r="X26" s="77" t="s">
        <v>39</v>
      </c>
      <c r="Y26" s="76" t="s">
        <v>40</v>
      </c>
      <c r="Z26" s="76" t="s">
        <v>41</v>
      </c>
      <c r="AA26" s="76" t="s">
        <v>226</v>
      </c>
      <c r="AB26" s="14" t="s">
        <v>162</v>
      </c>
      <c r="AC26" s="6" t="s">
        <v>186</v>
      </c>
    </row>
    <row r="27" spans="1:37" ht="37.5" customHeight="1">
      <c r="A27" s="2" t="s">
        <v>227</v>
      </c>
      <c r="B27" s="78" t="s">
        <v>34</v>
      </c>
      <c r="C27" s="78" t="s">
        <v>35</v>
      </c>
      <c r="D27" s="78" t="s">
        <v>36</v>
      </c>
      <c r="E27" s="76" t="s">
        <v>37</v>
      </c>
      <c r="F27" s="145" t="s">
        <v>192</v>
      </c>
      <c r="G27" s="145">
        <v>95</v>
      </c>
      <c r="H27" s="81" t="s">
        <v>38</v>
      </c>
      <c r="I27" s="81">
        <v>75</v>
      </c>
      <c r="J27" s="78" t="s">
        <v>150</v>
      </c>
      <c r="K27" s="76">
        <v>160</v>
      </c>
      <c r="L27" s="81" t="s">
        <v>38</v>
      </c>
      <c r="M27" s="81" t="s">
        <v>38</v>
      </c>
      <c r="N27" s="145" t="s">
        <v>193</v>
      </c>
      <c r="O27" s="145" t="s">
        <v>194</v>
      </c>
      <c r="P27" s="76" t="s">
        <v>151</v>
      </c>
      <c r="Q27" s="76">
        <v>4000</v>
      </c>
      <c r="R27" s="146" t="s">
        <v>158</v>
      </c>
      <c r="S27" s="78" t="s">
        <v>181</v>
      </c>
      <c r="T27" s="147" t="s">
        <v>195</v>
      </c>
      <c r="U27" s="148" t="s">
        <v>196</v>
      </c>
      <c r="V27" s="76" t="s">
        <v>197</v>
      </c>
      <c r="W27" s="145">
        <v>2820</v>
      </c>
      <c r="X27" s="77" t="s">
        <v>39</v>
      </c>
      <c r="Y27" s="76" t="s">
        <v>40</v>
      </c>
      <c r="Z27" s="76" t="s">
        <v>41</v>
      </c>
      <c r="AA27" s="76" t="s">
        <v>228</v>
      </c>
      <c r="AB27" s="14" t="s">
        <v>162</v>
      </c>
      <c r="AC27" s="6" t="s">
        <v>186</v>
      </c>
      <c r="AD27" s="41"/>
    </row>
    <row r="28" spans="1:37" ht="25.5">
      <c r="A28" s="3" t="s">
        <v>229</v>
      </c>
      <c r="B28" s="78" t="s">
        <v>34</v>
      </c>
      <c r="C28" s="78" t="s">
        <v>35</v>
      </c>
      <c r="D28" s="78" t="s">
        <v>36</v>
      </c>
      <c r="E28" s="76" t="s">
        <v>37</v>
      </c>
      <c r="F28" s="145" t="s">
        <v>200</v>
      </c>
      <c r="G28" s="145">
        <v>95</v>
      </c>
      <c r="H28" s="81" t="s">
        <v>38</v>
      </c>
      <c r="I28" s="81">
        <v>75</v>
      </c>
      <c r="J28" s="78" t="s">
        <v>150</v>
      </c>
      <c r="K28" s="76">
        <v>160</v>
      </c>
      <c r="L28" s="81" t="s">
        <v>38</v>
      </c>
      <c r="M28" s="81" t="s">
        <v>38</v>
      </c>
      <c r="N28" s="145" t="s">
        <v>193</v>
      </c>
      <c r="O28" s="145" t="s">
        <v>194</v>
      </c>
      <c r="P28" s="76" t="s">
        <v>151</v>
      </c>
      <c r="Q28" s="76">
        <v>4990</v>
      </c>
      <c r="R28" s="146" t="s">
        <v>158</v>
      </c>
      <c r="S28" s="78" t="s">
        <v>181</v>
      </c>
      <c r="T28" s="147" t="s">
        <v>195</v>
      </c>
      <c r="U28" s="148" t="s">
        <v>196</v>
      </c>
      <c r="V28" s="76" t="s">
        <v>197</v>
      </c>
      <c r="W28" s="145">
        <v>2820</v>
      </c>
      <c r="X28" s="77" t="s">
        <v>39</v>
      </c>
      <c r="Y28" s="76" t="s">
        <v>40</v>
      </c>
      <c r="Z28" s="76" t="s">
        <v>41</v>
      </c>
      <c r="AA28" s="76" t="s">
        <v>230</v>
      </c>
      <c r="AB28" s="14" t="s">
        <v>166</v>
      </c>
      <c r="AC28" s="6" t="s">
        <v>186</v>
      </c>
      <c r="AD28" s="40"/>
    </row>
    <row r="29" spans="1:37" ht="39" customHeight="1">
      <c r="A29" s="2" t="s">
        <v>231</v>
      </c>
      <c r="B29" s="78" t="s">
        <v>34</v>
      </c>
      <c r="C29" s="78" t="s">
        <v>35</v>
      </c>
      <c r="D29" s="78" t="s">
        <v>36</v>
      </c>
      <c r="E29" s="76" t="s">
        <v>37</v>
      </c>
      <c r="F29" s="76" t="s">
        <v>203</v>
      </c>
      <c r="G29" s="76">
        <v>94.5</v>
      </c>
      <c r="H29" s="81" t="s">
        <v>38</v>
      </c>
      <c r="I29" s="81">
        <v>110</v>
      </c>
      <c r="J29" s="78" t="s">
        <v>150</v>
      </c>
      <c r="K29" s="78" t="s">
        <v>204</v>
      </c>
      <c r="L29" s="81" t="s">
        <v>38</v>
      </c>
      <c r="M29" s="81" t="s">
        <v>38</v>
      </c>
      <c r="N29" s="76" t="s">
        <v>205</v>
      </c>
      <c r="O29" s="76" t="s">
        <v>206</v>
      </c>
      <c r="P29" s="76" t="s">
        <v>151</v>
      </c>
      <c r="Q29" s="76">
        <v>5000</v>
      </c>
      <c r="R29" s="128" t="s">
        <v>207</v>
      </c>
      <c r="S29" s="78" t="s">
        <v>208</v>
      </c>
      <c r="T29" s="78" t="s">
        <v>209</v>
      </c>
      <c r="U29" s="83">
        <v>5</v>
      </c>
      <c r="V29" s="76" t="s">
        <v>210</v>
      </c>
      <c r="W29" s="76">
        <v>3920</v>
      </c>
      <c r="X29" s="77" t="s">
        <v>39</v>
      </c>
      <c r="Y29" s="76" t="s">
        <v>40</v>
      </c>
      <c r="Z29" s="76" t="s">
        <v>41</v>
      </c>
      <c r="AA29" s="76" t="s">
        <v>232</v>
      </c>
      <c r="AB29" s="14" t="s">
        <v>212</v>
      </c>
      <c r="AC29" s="6" t="s">
        <v>186</v>
      </c>
    </row>
    <row r="30" spans="1:37" ht="38.25">
      <c r="A30" s="3" t="s">
        <v>79</v>
      </c>
      <c r="B30" s="78" t="s">
        <v>34</v>
      </c>
      <c r="C30" s="78" t="s">
        <v>35</v>
      </c>
      <c r="D30" s="78" t="s">
        <v>36</v>
      </c>
      <c r="E30" s="76" t="s">
        <v>37</v>
      </c>
      <c r="F30" s="76" t="s">
        <v>213</v>
      </c>
      <c r="G30" s="76">
        <v>94.5</v>
      </c>
      <c r="H30" s="81" t="s">
        <v>38</v>
      </c>
      <c r="I30" s="81">
        <v>110</v>
      </c>
      <c r="J30" s="78" t="s">
        <v>150</v>
      </c>
      <c r="K30" s="78" t="s">
        <v>204</v>
      </c>
      <c r="L30" s="81" t="s">
        <v>38</v>
      </c>
      <c r="M30" s="81" t="s">
        <v>38</v>
      </c>
      <c r="N30" s="76" t="s">
        <v>205</v>
      </c>
      <c r="O30" s="76" t="s">
        <v>206</v>
      </c>
      <c r="P30" s="76" t="s">
        <v>151</v>
      </c>
      <c r="Q30" s="76">
        <v>6000</v>
      </c>
      <c r="R30" s="128" t="s">
        <v>207</v>
      </c>
      <c r="S30" s="78" t="s">
        <v>208</v>
      </c>
      <c r="T30" s="78" t="s">
        <v>209</v>
      </c>
      <c r="U30" s="83">
        <v>5</v>
      </c>
      <c r="V30" s="76" t="s">
        <v>210</v>
      </c>
      <c r="W30" s="76">
        <v>3920</v>
      </c>
      <c r="X30" s="77" t="s">
        <v>39</v>
      </c>
      <c r="Y30" s="76" t="s">
        <v>40</v>
      </c>
      <c r="Z30" s="76" t="s">
        <v>41</v>
      </c>
      <c r="AA30" s="76" t="s">
        <v>233</v>
      </c>
      <c r="AB30" s="14" t="s">
        <v>162</v>
      </c>
      <c r="AC30" s="6" t="s">
        <v>186</v>
      </c>
    </row>
    <row r="31" spans="1:37">
      <c r="A31" s="15"/>
      <c r="B31" s="10"/>
      <c r="C31" s="10"/>
      <c r="D31" s="10"/>
      <c r="E31" s="11"/>
      <c r="F31" s="11"/>
      <c r="G31" s="11"/>
      <c r="H31" s="153"/>
      <c r="I31" s="153"/>
      <c r="J31" s="10"/>
      <c r="K31" s="10"/>
      <c r="L31" s="153"/>
      <c r="M31" s="153"/>
      <c r="N31" s="11"/>
      <c r="O31" s="11"/>
      <c r="P31" s="11"/>
      <c r="Q31" s="11"/>
      <c r="R31" s="152"/>
      <c r="S31" s="10"/>
      <c r="T31" s="10"/>
      <c r="U31" s="13"/>
      <c r="V31" s="11"/>
      <c r="W31" s="11"/>
      <c r="X31" s="150"/>
      <c r="Y31" s="11"/>
      <c r="Z31" s="11"/>
      <c r="AA31" s="11"/>
      <c r="AB31" s="14"/>
      <c r="AC31" s="6"/>
    </row>
    <row r="32" spans="1:37">
      <c r="A32" s="15"/>
      <c r="B32" s="10"/>
      <c r="C32" s="10"/>
      <c r="D32" s="10"/>
      <c r="E32" s="11"/>
      <c r="F32" s="11"/>
      <c r="G32" s="11"/>
      <c r="H32" s="153"/>
      <c r="I32" s="153"/>
      <c r="J32" s="10"/>
      <c r="K32" s="10"/>
      <c r="L32" s="153"/>
      <c r="M32" s="153"/>
      <c r="N32" s="11"/>
      <c r="O32" s="11"/>
      <c r="P32" s="11"/>
      <c r="Q32" s="11"/>
      <c r="R32" s="152"/>
      <c r="S32" s="10"/>
      <c r="T32" s="10"/>
      <c r="U32" s="13"/>
      <c r="V32" s="11"/>
      <c r="W32" s="11"/>
      <c r="X32" s="150"/>
      <c r="Y32" s="11"/>
      <c r="Z32" s="11"/>
      <c r="AA32" s="11"/>
      <c r="AB32" s="14"/>
      <c r="AC32" s="6"/>
    </row>
    <row r="33" spans="1:31">
      <c r="B33" s="212" t="s">
        <v>4</v>
      </c>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row>
    <row r="34" spans="1:31">
      <c r="B34" s="75"/>
      <c r="C34" s="75"/>
      <c r="D34" s="75"/>
      <c r="E34" s="75"/>
      <c r="F34" s="75"/>
      <c r="G34" s="75"/>
      <c r="H34" s="209" t="s">
        <v>5</v>
      </c>
      <c r="I34" s="211"/>
      <c r="J34" s="211"/>
      <c r="K34" s="211"/>
      <c r="L34" s="211"/>
      <c r="M34" s="211"/>
      <c r="N34" s="211"/>
      <c r="O34" s="210"/>
      <c r="P34" s="209" t="s">
        <v>6</v>
      </c>
      <c r="Q34" s="211"/>
      <c r="R34" s="210"/>
      <c r="S34" s="212" t="s">
        <v>7</v>
      </c>
      <c r="T34" s="212"/>
      <c r="U34" s="212"/>
      <c r="V34" s="141"/>
      <c r="W34" s="141"/>
      <c r="X34" s="141"/>
      <c r="Y34" s="141"/>
      <c r="Z34" s="141"/>
      <c r="AA34" s="141"/>
      <c r="AB34" s="1"/>
    </row>
    <row r="35" spans="1:31" ht="37.5" customHeight="1">
      <c r="A35" s="5"/>
      <c r="B35" s="76" t="s">
        <v>8</v>
      </c>
      <c r="C35" s="76" t="s">
        <v>9</v>
      </c>
      <c r="D35" s="76" t="s">
        <v>10</v>
      </c>
      <c r="E35" s="77" t="s">
        <v>11</v>
      </c>
      <c r="F35" s="76" t="s">
        <v>12</v>
      </c>
      <c r="G35" s="77" t="s">
        <v>13</v>
      </c>
      <c r="H35" s="76" t="s">
        <v>14</v>
      </c>
      <c r="I35" s="77" t="s">
        <v>15</v>
      </c>
      <c r="J35" s="76" t="s">
        <v>16</v>
      </c>
      <c r="K35" s="76" t="s">
        <v>17</v>
      </c>
      <c r="L35" s="76" t="s">
        <v>113</v>
      </c>
      <c r="M35" s="76" t="s">
        <v>19</v>
      </c>
      <c r="N35" s="76" t="s">
        <v>20</v>
      </c>
      <c r="O35" s="76" t="s">
        <v>145</v>
      </c>
      <c r="P35" s="76" t="s">
        <v>22</v>
      </c>
      <c r="Q35" s="76" t="s">
        <v>23</v>
      </c>
      <c r="R35" s="126" t="s">
        <v>115</v>
      </c>
      <c r="S35" s="76" t="s">
        <v>25</v>
      </c>
      <c r="T35" s="76" t="s">
        <v>26</v>
      </c>
      <c r="U35" s="76" t="s">
        <v>27</v>
      </c>
      <c r="V35" s="76" t="s">
        <v>116</v>
      </c>
      <c r="W35" s="76" t="s">
        <v>29</v>
      </c>
      <c r="X35" s="77" t="s">
        <v>30</v>
      </c>
      <c r="Y35" s="76" t="s">
        <v>146</v>
      </c>
      <c r="Z35" s="77" t="s">
        <v>32</v>
      </c>
      <c r="AA35" s="76" t="s">
        <v>33</v>
      </c>
      <c r="AB35" s="137" t="s">
        <v>147</v>
      </c>
      <c r="AC35" s="138" t="s">
        <v>148</v>
      </c>
    </row>
    <row r="36" spans="1:31" ht="26.25" customHeight="1">
      <c r="A36" s="5" t="s">
        <v>149</v>
      </c>
      <c r="B36" s="78" t="s">
        <v>34</v>
      </c>
      <c r="C36" s="78" t="s">
        <v>35</v>
      </c>
      <c r="D36" s="78" t="s">
        <v>36</v>
      </c>
      <c r="E36" s="79" t="s">
        <v>38</v>
      </c>
      <c r="F36" s="80" t="s">
        <v>38</v>
      </c>
      <c r="G36" s="75"/>
      <c r="H36" s="81" t="s">
        <v>38</v>
      </c>
      <c r="I36" s="81"/>
      <c r="J36" s="78" t="s">
        <v>150</v>
      </c>
      <c r="K36" s="76">
        <v>160</v>
      </c>
      <c r="L36" s="81" t="s">
        <v>38</v>
      </c>
      <c r="M36" s="81" t="s">
        <v>38</v>
      </c>
      <c r="N36" s="80" t="s">
        <v>38</v>
      </c>
      <c r="O36" s="80" t="s">
        <v>38</v>
      </c>
      <c r="P36" s="76" t="s">
        <v>151</v>
      </c>
      <c r="Q36" s="80" t="s">
        <v>38</v>
      </c>
      <c r="R36" s="80" t="s">
        <v>38</v>
      </c>
      <c r="S36" s="80" t="s">
        <v>38</v>
      </c>
      <c r="T36" s="80" t="s">
        <v>38</v>
      </c>
      <c r="U36" s="80" t="s">
        <v>38</v>
      </c>
      <c r="V36" s="80" t="s">
        <v>38</v>
      </c>
      <c r="W36" s="80" t="s">
        <v>38</v>
      </c>
      <c r="X36" s="80"/>
      <c r="Y36" s="76" t="s">
        <v>40</v>
      </c>
      <c r="Z36" s="76" t="s">
        <v>41</v>
      </c>
      <c r="AA36" s="80" t="s">
        <v>38</v>
      </c>
      <c r="AB36" s="14" t="s">
        <v>152</v>
      </c>
      <c r="AC36" s="6" t="s">
        <v>153</v>
      </c>
    </row>
    <row r="37" spans="1:31" ht="25.5">
      <c r="A37" s="2" t="s">
        <v>234</v>
      </c>
      <c r="B37" s="78" t="s">
        <v>34</v>
      </c>
      <c r="C37" s="78" t="s">
        <v>35</v>
      </c>
      <c r="D37" s="78" t="s">
        <v>36</v>
      </c>
      <c r="E37" s="76" t="s">
        <v>37</v>
      </c>
      <c r="F37" s="76" t="s">
        <v>155</v>
      </c>
      <c r="G37" s="76">
        <v>95.5</v>
      </c>
      <c r="H37" s="81" t="s">
        <v>38</v>
      </c>
      <c r="I37" s="81">
        <v>16.25</v>
      </c>
      <c r="J37" s="78" t="s">
        <v>150</v>
      </c>
      <c r="K37" s="76">
        <v>160</v>
      </c>
      <c r="L37" s="81" t="s">
        <v>38</v>
      </c>
      <c r="M37" s="81" t="s">
        <v>38</v>
      </c>
      <c r="N37" s="76" t="s">
        <v>156</v>
      </c>
      <c r="O37" s="76" t="s">
        <v>157</v>
      </c>
      <c r="P37" s="76" t="s">
        <v>151</v>
      </c>
      <c r="Q37" s="76">
        <v>750</v>
      </c>
      <c r="R37" s="82" t="s">
        <v>158</v>
      </c>
      <c r="S37" s="76" t="s">
        <v>159</v>
      </c>
      <c r="T37" s="76">
        <v>13</v>
      </c>
      <c r="U37" s="83">
        <v>1</v>
      </c>
      <c r="V37" s="76" t="s">
        <v>160</v>
      </c>
      <c r="W37" s="76">
        <v>820</v>
      </c>
      <c r="X37" s="77" t="s">
        <v>39</v>
      </c>
      <c r="Y37" s="76" t="s">
        <v>40</v>
      </c>
      <c r="Z37" s="76" t="s">
        <v>41</v>
      </c>
      <c r="AA37" s="76" t="s">
        <v>235</v>
      </c>
      <c r="AB37" s="14" t="s">
        <v>162</v>
      </c>
      <c r="AC37" s="6" t="s">
        <v>122</v>
      </c>
    </row>
    <row r="38" spans="1:31" ht="25.5">
      <c r="A38" s="3" t="s">
        <v>236</v>
      </c>
      <c r="B38" s="78" t="s">
        <v>34</v>
      </c>
      <c r="C38" s="78" t="s">
        <v>35</v>
      </c>
      <c r="D38" s="78" t="s">
        <v>36</v>
      </c>
      <c r="E38" s="76" t="s">
        <v>37</v>
      </c>
      <c r="F38" s="76" t="s">
        <v>164</v>
      </c>
      <c r="G38" s="76">
        <v>96.8</v>
      </c>
      <c r="H38" s="81" t="s">
        <v>38</v>
      </c>
      <c r="I38" s="81">
        <v>14.25</v>
      </c>
      <c r="J38" s="78" t="s">
        <v>150</v>
      </c>
      <c r="K38" s="76">
        <v>160</v>
      </c>
      <c r="L38" s="81" t="s">
        <v>38</v>
      </c>
      <c r="M38" s="81" t="s">
        <v>38</v>
      </c>
      <c r="N38" s="76" t="s">
        <v>156</v>
      </c>
      <c r="O38" s="76" t="s">
        <v>157</v>
      </c>
      <c r="P38" s="76" t="s">
        <v>151</v>
      </c>
      <c r="Q38" s="76">
        <v>1000</v>
      </c>
      <c r="R38" s="82" t="s">
        <v>158</v>
      </c>
      <c r="S38" s="76" t="s">
        <v>159</v>
      </c>
      <c r="T38" s="76">
        <v>13</v>
      </c>
      <c r="U38" s="83">
        <v>1</v>
      </c>
      <c r="V38" s="76" t="s">
        <v>160</v>
      </c>
      <c r="W38" s="76">
        <v>820</v>
      </c>
      <c r="X38" s="77" t="s">
        <v>39</v>
      </c>
      <c r="Y38" s="76" t="s">
        <v>40</v>
      </c>
      <c r="Z38" s="76" t="s">
        <v>41</v>
      </c>
      <c r="AA38" s="76" t="s">
        <v>237</v>
      </c>
      <c r="AB38" s="14" t="s">
        <v>166</v>
      </c>
      <c r="AC38" s="6" t="s">
        <v>122</v>
      </c>
    </row>
    <row r="39" spans="1:31" ht="25.5">
      <c r="A39" s="2" t="s">
        <v>238</v>
      </c>
      <c r="B39" s="78" t="s">
        <v>34</v>
      </c>
      <c r="C39" s="78" t="s">
        <v>35</v>
      </c>
      <c r="D39" s="78" t="s">
        <v>36</v>
      </c>
      <c r="E39" s="76" t="s">
        <v>37</v>
      </c>
      <c r="F39" s="76" t="s">
        <v>168</v>
      </c>
      <c r="G39" s="76">
        <v>94.6</v>
      </c>
      <c r="H39" s="81" t="s">
        <v>38</v>
      </c>
      <c r="I39" s="81">
        <v>44</v>
      </c>
      <c r="J39" s="78" t="s">
        <v>150</v>
      </c>
      <c r="K39" s="76">
        <v>160</v>
      </c>
      <c r="L39" s="81" t="s">
        <v>38</v>
      </c>
      <c r="M39" s="81" t="s">
        <v>38</v>
      </c>
      <c r="N39" s="76" t="s">
        <v>169</v>
      </c>
      <c r="O39" s="76" t="s">
        <v>170</v>
      </c>
      <c r="P39" s="76" t="s">
        <v>151</v>
      </c>
      <c r="Q39" s="76">
        <v>1500</v>
      </c>
      <c r="R39" s="82" t="s">
        <v>158</v>
      </c>
      <c r="S39" s="76" t="s">
        <v>159</v>
      </c>
      <c r="T39" s="76">
        <v>16</v>
      </c>
      <c r="U39" s="83">
        <v>1.6</v>
      </c>
      <c r="V39" s="76" t="s">
        <v>171</v>
      </c>
      <c r="W39" s="76">
        <v>1654</v>
      </c>
      <c r="X39" s="77" t="s">
        <v>39</v>
      </c>
      <c r="Y39" s="76" t="s">
        <v>40</v>
      </c>
      <c r="Z39" s="76" t="s">
        <v>41</v>
      </c>
      <c r="AA39" s="76" t="s">
        <v>239</v>
      </c>
      <c r="AB39" s="14" t="s">
        <v>166</v>
      </c>
      <c r="AC39" s="6" t="s">
        <v>122</v>
      </c>
    </row>
    <row r="40" spans="1:31" ht="25.5">
      <c r="A40" s="3" t="s">
        <v>240</v>
      </c>
      <c r="B40" s="78" t="s">
        <v>34</v>
      </c>
      <c r="C40" s="78" t="s">
        <v>35</v>
      </c>
      <c r="D40" s="78" t="s">
        <v>36</v>
      </c>
      <c r="E40" s="76" t="s">
        <v>37</v>
      </c>
      <c r="F40" s="76" t="s">
        <v>174</v>
      </c>
      <c r="G40" s="76">
        <v>94.6</v>
      </c>
      <c r="H40" s="81" t="s">
        <v>38</v>
      </c>
      <c r="I40" s="81">
        <v>40</v>
      </c>
      <c r="J40" s="78" t="s">
        <v>150</v>
      </c>
      <c r="K40" s="76">
        <v>160</v>
      </c>
      <c r="L40" s="81" t="s">
        <v>38</v>
      </c>
      <c r="M40" s="81" t="s">
        <v>38</v>
      </c>
      <c r="N40" s="76" t="s">
        <v>175</v>
      </c>
      <c r="O40" s="76" t="s">
        <v>170</v>
      </c>
      <c r="P40" s="76" t="s">
        <v>151</v>
      </c>
      <c r="Q40" s="76">
        <v>2000</v>
      </c>
      <c r="R40" s="82" t="s">
        <v>158</v>
      </c>
      <c r="S40" s="76" t="s">
        <v>159</v>
      </c>
      <c r="T40" s="76">
        <v>16</v>
      </c>
      <c r="U40" s="83">
        <v>1.6</v>
      </c>
      <c r="V40" s="76" t="s">
        <v>176</v>
      </c>
      <c r="W40" s="76">
        <v>1654</v>
      </c>
      <c r="X40" s="77" t="s">
        <v>39</v>
      </c>
      <c r="Y40" s="76" t="s">
        <v>40</v>
      </c>
      <c r="Z40" s="76" t="s">
        <v>41</v>
      </c>
      <c r="AA40" s="76" t="s">
        <v>241</v>
      </c>
      <c r="AB40" s="14" t="s">
        <v>166</v>
      </c>
      <c r="AC40" s="6" t="s">
        <v>122</v>
      </c>
    </row>
    <row r="41" spans="1:31" ht="25.5">
      <c r="A41" s="2" t="s">
        <v>242</v>
      </c>
      <c r="B41" s="78" t="s">
        <v>34</v>
      </c>
      <c r="C41" s="78" t="s">
        <v>35</v>
      </c>
      <c r="D41" s="78" t="s">
        <v>36</v>
      </c>
      <c r="E41" s="76" t="s">
        <v>37</v>
      </c>
      <c r="F41" s="76" t="s">
        <v>179</v>
      </c>
      <c r="G41" s="76">
        <v>93.5</v>
      </c>
      <c r="H41" s="81" t="s">
        <v>38</v>
      </c>
      <c r="I41" s="81">
        <v>58</v>
      </c>
      <c r="J41" s="78" t="s">
        <v>150</v>
      </c>
      <c r="K41" s="76">
        <v>160</v>
      </c>
      <c r="L41" s="81" t="s">
        <v>38</v>
      </c>
      <c r="M41" s="81" t="s">
        <v>38</v>
      </c>
      <c r="N41" s="76" t="s">
        <v>175</v>
      </c>
      <c r="O41" s="76" t="s">
        <v>180</v>
      </c>
      <c r="P41" s="76" t="s">
        <v>151</v>
      </c>
      <c r="Q41" s="76">
        <v>2500</v>
      </c>
      <c r="R41" s="82" t="s">
        <v>158</v>
      </c>
      <c r="S41" s="78" t="s">
        <v>181</v>
      </c>
      <c r="T41" s="78" t="s">
        <v>182</v>
      </c>
      <c r="U41" s="84" t="s">
        <v>183</v>
      </c>
      <c r="V41" s="76" t="s">
        <v>184</v>
      </c>
      <c r="W41" s="76">
        <v>2580</v>
      </c>
      <c r="X41" s="77" t="s">
        <v>39</v>
      </c>
      <c r="Y41" s="76" t="s">
        <v>40</v>
      </c>
      <c r="Z41" s="76" t="s">
        <v>41</v>
      </c>
      <c r="AA41" s="76" t="s">
        <v>243</v>
      </c>
      <c r="AB41" s="14" t="s">
        <v>162</v>
      </c>
      <c r="AC41" s="6" t="s">
        <v>186</v>
      </c>
    </row>
    <row r="42" spans="1:31" ht="25.5">
      <c r="A42" s="3" t="s">
        <v>244</v>
      </c>
      <c r="B42" s="78" t="s">
        <v>34</v>
      </c>
      <c r="C42" s="78" t="s">
        <v>35</v>
      </c>
      <c r="D42" s="78" t="s">
        <v>36</v>
      </c>
      <c r="E42" s="76" t="s">
        <v>37</v>
      </c>
      <c r="F42" s="76" t="s">
        <v>188</v>
      </c>
      <c r="G42" s="76">
        <v>93.5</v>
      </c>
      <c r="H42" s="81" t="s">
        <v>38</v>
      </c>
      <c r="I42" s="81">
        <v>55</v>
      </c>
      <c r="J42" s="78" t="s">
        <v>150</v>
      </c>
      <c r="K42" s="76">
        <v>160</v>
      </c>
      <c r="L42" s="81" t="s">
        <v>38</v>
      </c>
      <c r="M42" s="81" t="s">
        <v>38</v>
      </c>
      <c r="N42" s="76" t="s">
        <v>189</v>
      </c>
      <c r="O42" s="76" t="s">
        <v>190</v>
      </c>
      <c r="P42" s="76" t="s">
        <v>151</v>
      </c>
      <c r="Q42" s="76">
        <v>3000</v>
      </c>
      <c r="R42" s="82" t="s">
        <v>158</v>
      </c>
      <c r="S42" s="78" t="s">
        <v>181</v>
      </c>
      <c r="T42" s="78" t="s">
        <v>182</v>
      </c>
      <c r="U42" s="84" t="s">
        <v>183</v>
      </c>
      <c r="V42" s="76" t="s">
        <v>184</v>
      </c>
      <c r="W42" s="76">
        <v>2580</v>
      </c>
      <c r="X42" s="77" t="s">
        <v>39</v>
      </c>
      <c r="Y42" s="76" t="s">
        <v>40</v>
      </c>
      <c r="Z42" s="76" t="s">
        <v>41</v>
      </c>
      <c r="AA42" s="76" t="s">
        <v>245</v>
      </c>
      <c r="AB42" s="14" t="s">
        <v>162</v>
      </c>
      <c r="AC42" s="6" t="s">
        <v>186</v>
      </c>
    </row>
    <row r="43" spans="1:31" ht="25.5">
      <c r="A43" s="2" t="s">
        <v>246</v>
      </c>
      <c r="B43" s="78" t="s">
        <v>34</v>
      </c>
      <c r="C43" s="78" t="s">
        <v>35</v>
      </c>
      <c r="D43" s="78" t="s">
        <v>36</v>
      </c>
      <c r="E43" s="76" t="s">
        <v>37</v>
      </c>
      <c r="F43" s="145" t="s">
        <v>192</v>
      </c>
      <c r="G43" s="145">
        <v>95</v>
      </c>
      <c r="H43" s="81" t="s">
        <v>38</v>
      </c>
      <c r="I43" s="81">
        <v>75</v>
      </c>
      <c r="J43" s="78" t="s">
        <v>150</v>
      </c>
      <c r="K43" s="76">
        <v>160</v>
      </c>
      <c r="L43" s="81" t="s">
        <v>38</v>
      </c>
      <c r="M43" s="81" t="s">
        <v>38</v>
      </c>
      <c r="N43" s="145" t="s">
        <v>193</v>
      </c>
      <c r="O43" s="145" t="s">
        <v>194</v>
      </c>
      <c r="P43" s="76" t="s">
        <v>151</v>
      </c>
      <c r="Q43" s="76">
        <v>4000</v>
      </c>
      <c r="R43" s="146" t="s">
        <v>158</v>
      </c>
      <c r="S43" s="78" t="s">
        <v>181</v>
      </c>
      <c r="T43" s="147" t="s">
        <v>195</v>
      </c>
      <c r="U43" s="148" t="s">
        <v>196</v>
      </c>
      <c r="V43" s="76" t="s">
        <v>197</v>
      </c>
      <c r="W43" s="145">
        <v>2820</v>
      </c>
      <c r="X43" s="77" t="s">
        <v>39</v>
      </c>
      <c r="Y43" s="76" t="s">
        <v>40</v>
      </c>
      <c r="Z43" s="76" t="s">
        <v>41</v>
      </c>
      <c r="AA43" s="76" t="s">
        <v>247</v>
      </c>
      <c r="AB43" s="14" t="s">
        <v>162</v>
      </c>
      <c r="AC43" s="6" t="s">
        <v>186</v>
      </c>
    </row>
    <row r="44" spans="1:31" ht="25.5">
      <c r="A44" s="3" t="s">
        <v>248</v>
      </c>
      <c r="B44" s="78" t="s">
        <v>34</v>
      </c>
      <c r="C44" s="78" t="s">
        <v>35</v>
      </c>
      <c r="D44" s="78" t="s">
        <v>36</v>
      </c>
      <c r="E44" s="76" t="s">
        <v>37</v>
      </c>
      <c r="F44" s="145" t="s">
        <v>200</v>
      </c>
      <c r="G44" s="145">
        <v>95</v>
      </c>
      <c r="H44" s="81" t="s">
        <v>38</v>
      </c>
      <c r="I44" s="81">
        <v>75</v>
      </c>
      <c r="J44" s="78" t="s">
        <v>150</v>
      </c>
      <c r="K44" s="76">
        <v>160</v>
      </c>
      <c r="L44" s="81" t="s">
        <v>38</v>
      </c>
      <c r="M44" s="81" t="s">
        <v>38</v>
      </c>
      <c r="N44" s="145" t="s">
        <v>193</v>
      </c>
      <c r="O44" s="145" t="s">
        <v>194</v>
      </c>
      <c r="P44" s="76" t="s">
        <v>151</v>
      </c>
      <c r="Q44" s="76">
        <v>4990</v>
      </c>
      <c r="R44" s="146" t="s">
        <v>158</v>
      </c>
      <c r="S44" s="78" t="s">
        <v>181</v>
      </c>
      <c r="T44" s="147" t="s">
        <v>195</v>
      </c>
      <c r="U44" s="148" t="s">
        <v>196</v>
      </c>
      <c r="V44" s="76" t="s">
        <v>197</v>
      </c>
      <c r="W44" s="145">
        <v>2820</v>
      </c>
      <c r="X44" s="77" t="s">
        <v>39</v>
      </c>
      <c r="Y44" s="76" t="s">
        <v>40</v>
      </c>
      <c r="Z44" s="76" t="s">
        <v>41</v>
      </c>
      <c r="AA44" s="76" t="s">
        <v>249</v>
      </c>
      <c r="AB44" s="14" t="s">
        <v>166</v>
      </c>
      <c r="AC44" s="6" t="s">
        <v>186</v>
      </c>
    </row>
    <row r="45" spans="1:31" ht="38.25">
      <c r="A45" s="2" t="s">
        <v>250</v>
      </c>
      <c r="B45" s="78" t="s">
        <v>34</v>
      </c>
      <c r="C45" s="78" t="s">
        <v>35</v>
      </c>
      <c r="D45" s="78" t="s">
        <v>36</v>
      </c>
      <c r="E45" s="76" t="s">
        <v>37</v>
      </c>
      <c r="F45" s="76" t="s">
        <v>203</v>
      </c>
      <c r="G45" s="76">
        <v>94.5</v>
      </c>
      <c r="H45" s="81" t="s">
        <v>38</v>
      </c>
      <c r="I45" s="81">
        <v>110</v>
      </c>
      <c r="J45" s="78" t="s">
        <v>150</v>
      </c>
      <c r="K45" s="78" t="s">
        <v>204</v>
      </c>
      <c r="L45" s="81" t="s">
        <v>38</v>
      </c>
      <c r="M45" s="81" t="s">
        <v>38</v>
      </c>
      <c r="N45" s="76" t="s">
        <v>205</v>
      </c>
      <c r="O45" s="76" t="s">
        <v>206</v>
      </c>
      <c r="P45" s="76" t="s">
        <v>151</v>
      </c>
      <c r="Q45" s="76">
        <v>5000</v>
      </c>
      <c r="R45" s="128" t="s">
        <v>207</v>
      </c>
      <c r="S45" s="78" t="s">
        <v>208</v>
      </c>
      <c r="T45" s="78" t="s">
        <v>209</v>
      </c>
      <c r="U45" s="83">
        <v>5</v>
      </c>
      <c r="V45" s="76" t="s">
        <v>210</v>
      </c>
      <c r="W45" s="76">
        <v>3920</v>
      </c>
      <c r="X45" s="77" t="s">
        <v>39</v>
      </c>
      <c r="Y45" s="76" t="s">
        <v>40</v>
      </c>
      <c r="Z45" s="76" t="s">
        <v>41</v>
      </c>
      <c r="AA45" s="76" t="s">
        <v>251</v>
      </c>
      <c r="AB45" s="14" t="s">
        <v>212</v>
      </c>
      <c r="AC45" s="6" t="s">
        <v>186</v>
      </c>
    </row>
    <row r="46" spans="1:31" ht="38.25">
      <c r="A46" s="3" t="s">
        <v>94</v>
      </c>
      <c r="B46" s="78" t="s">
        <v>34</v>
      </c>
      <c r="C46" s="78" t="s">
        <v>35</v>
      </c>
      <c r="D46" s="78" t="s">
        <v>36</v>
      </c>
      <c r="E46" s="76" t="s">
        <v>37</v>
      </c>
      <c r="F46" s="76" t="s">
        <v>213</v>
      </c>
      <c r="G46" s="76">
        <v>94.5</v>
      </c>
      <c r="H46" s="81" t="s">
        <v>38</v>
      </c>
      <c r="I46" s="81">
        <v>110</v>
      </c>
      <c r="J46" s="78" t="s">
        <v>150</v>
      </c>
      <c r="K46" s="78" t="s">
        <v>204</v>
      </c>
      <c r="L46" s="81" t="s">
        <v>38</v>
      </c>
      <c r="M46" s="81" t="s">
        <v>38</v>
      </c>
      <c r="N46" s="76" t="s">
        <v>205</v>
      </c>
      <c r="O46" s="76" t="s">
        <v>206</v>
      </c>
      <c r="P46" s="76" t="s">
        <v>151</v>
      </c>
      <c r="Q46" s="76">
        <v>6000</v>
      </c>
      <c r="R46" s="128" t="s">
        <v>207</v>
      </c>
      <c r="S46" s="78" t="s">
        <v>208</v>
      </c>
      <c r="T46" s="78" t="s">
        <v>209</v>
      </c>
      <c r="U46" s="83">
        <v>5</v>
      </c>
      <c r="V46" s="76" t="s">
        <v>210</v>
      </c>
      <c r="W46" s="76">
        <v>3920</v>
      </c>
      <c r="X46" s="77" t="s">
        <v>39</v>
      </c>
      <c r="Y46" s="76" t="s">
        <v>40</v>
      </c>
      <c r="Z46" s="76" t="s">
        <v>41</v>
      </c>
      <c r="AA46" s="76" t="s">
        <v>252</v>
      </c>
      <c r="AB46" s="14" t="s">
        <v>162</v>
      </c>
      <c r="AC46" s="6" t="s">
        <v>186</v>
      </c>
    </row>
    <row r="47" spans="1:31">
      <c r="A47" s="15"/>
      <c r="B47" s="10"/>
      <c r="C47" s="10"/>
      <c r="D47" s="10"/>
      <c r="E47" s="11"/>
      <c r="F47" s="11"/>
      <c r="G47" s="11"/>
      <c r="H47" s="153"/>
      <c r="I47" s="153"/>
      <c r="J47" s="10"/>
      <c r="K47" s="10"/>
      <c r="L47" s="153"/>
      <c r="M47" s="153"/>
      <c r="N47" s="11"/>
      <c r="O47" s="11"/>
      <c r="P47" s="11"/>
      <c r="Q47" s="11"/>
      <c r="R47" s="152"/>
      <c r="S47" s="10"/>
      <c r="T47" s="10"/>
      <c r="U47" s="13"/>
      <c r="V47" s="11"/>
      <c r="W47" s="11"/>
      <c r="X47" s="150"/>
      <c r="Y47" s="11"/>
      <c r="Z47" s="11"/>
      <c r="AA47" s="11"/>
      <c r="AB47" s="14"/>
      <c r="AC47" s="6"/>
    </row>
    <row r="48" spans="1:31">
      <c r="A48" s="15"/>
      <c r="B48" s="10"/>
      <c r="C48" s="10"/>
      <c r="D48" s="10"/>
      <c r="E48" s="11"/>
      <c r="F48" s="11"/>
      <c r="G48" s="11"/>
      <c r="H48" s="11"/>
      <c r="I48" s="10"/>
      <c r="J48" s="10"/>
      <c r="K48" s="10"/>
      <c r="L48" s="10"/>
      <c r="M48" s="11"/>
      <c r="N48" s="11"/>
      <c r="O48" s="11"/>
      <c r="P48" s="11"/>
      <c r="Q48" s="11"/>
      <c r="R48" s="12"/>
      <c r="S48" s="11"/>
      <c r="T48" s="11"/>
      <c r="U48" s="11"/>
      <c r="V48" s="10"/>
      <c r="W48" s="10"/>
      <c r="X48" s="10"/>
      <c r="Y48" s="13"/>
      <c r="Z48" s="11"/>
      <c r="AA48" s="11"/>
      <c r="AB48" s="11"/>
      <c r="AC48" s="14"/>
      <c r="AD48" s="6"/>
      <c r="AE48" s="4"/>
    </row>
    <row r="49" spans="1:38" ht="17.100000000000001" customHeight="1">
      <c r="A49" s="75"/>
      <c r="B49" s="209" t="s">
        <v>4</v>
      </c>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18"/>
    </row>
    <row r="50" spans="1:38" ht="26.25" customHeight="1">
      <c r="A50" s="75"/>
      <c r="B50" s="75"/>
      <c r="C50" s="75"/>
      <c r="D50" s="75"/>
      <c r="E50" s="75"/>
      <c r="F50" s="75"/>
      <c r="G50" s="75"/>
      <c r="H50" s="75"/>
      <c r="I50" s="209" t="s">
        <v>5</v>
      </c>
      <c r="J50" s="211"/>
      <c r="K50" s="211"/>
      <c r="L50" s="211"/>
      <c r="M50" s="211"/>
      <c r="N50" s="211"/>
      <c r="O50" s="211"/>
      <c r="P50" s="210"/>
      <c r="Q50" s="209" t="s">
        <v>6</v>
      </c>
      <c r="R50" s="211"/>
      <c r="S50" s="210"/>
      <c r="T50" s="209" t="s">
        <v>7</v>
      </c>
      <c r="U50" s="210"/>
      <c r="V50" s="141"/>
      <c r="W50" s="141"/>
      <c r="X50" s="141"/>
      <c r="Y50" s="141"/>
      <c r="Z50" s="141"/>
    </row>
    <row r="51" spans="1:38" ht="54.75" customHeight="1">
      <c r="A51" s="75"/>
      <c r="B51" s="76" t="s">
        <v>8</v>
      </c>
      <c r="C51" s="76" t="s">
        <v>9</v>
      </c>
      <c r="D51" s="76" t="s">
        <v>10</v>
      </c>
      <c r="E51" s="77" t="s">
        <v>11</v>
      </c>
      <c r="F51" s="76" t="s">
        <v>111</v>
      </c>
      <c r="G51" s="76" t="s">
        <v>112</v>
      </c>
      <c r="H51" s="77" t="s">
        <v>13</v>
      </c>
      <c r="I51" s="76" t="s">
        <v>14</v>
      </c>
      <c r="J51" s="77" t="s">
        <v>15</v>
      </c>
      <c r="K51" s="76" t="s">
        <v>16</v>
      </c>
      <c r="L51" s="76" t="s">
        <v>17</v>
      </c>
      <c r="M51" s="76" t="s">
        <v>113</v>
      </c>
      <c r="N51" s="76" t="s">
        <v>19</v>
      </c>
      <c r="O51" s="76" t="s">
        <v>20</v>
      </c>
      <c r="P51" s="76" t="s">
        <v>114</v>
      </c>
      <c r="Q51" s="76" t="s">
        <v>22</v>
      </c>
      <c r="R51" s="76" t="s">
        <v>23</v>
      </c>
      <c r="S51" s="76" t="s">
        <v>115</v>
      </c>
      <c r="T51" s="76" t="s">
        <v>25</v>
      </c>
      <c r="U51" s="76" t="s">
        <v>26</v>
      </c>
      <c r="V51" s="76" t="s">
        <v>116</v>
      </c>
      <c r="W51" s="76" t="s">
        <v>29</v>
      </c>
      <c r="X51" s="77" t="s">
        <v>30</v>
      </c>
      <c r="Y51" s="77" t="s">
        <v>32</v>
      </c>
      <c r="Z51" s="76" t="s">
        <v>33</v>
      </c>
      <c r="AA51" s="11"/>
      <c r="AB51" s="11"/>
    </row>
    <row r="52" spans="1:38" ht="25.5">
      <c r="A52" s="86" t="s">
        <v>149</v>
      </c>
      <c r="B52" s="78" t="s">
        <v>34</v>
      </c>
      <c r="C52" s="78" t="s">
        <v>35</v>
      </c>
      <c r="D52" s="78" t="s">
        <v>36</v>
      </c>
      <c r="E52" s="76" t="s">
        <v>117</v>
      </c>
      <c r="F52" s="79" t="s">
        <v>38</v>
      </c>
      <c r="G52" s="79" t="s">
        <v>38</v>
      </c>
      <c r="H52" s="79" t="s">
        <v>38</v>
      </c>
      <c r="I52" s="81" t="s">
        <v>38</v>
      </c>
      <c r="J52" s="79" t="s">
        <v>38</v>
      </c>
      <c r="K52" s="76">
        <v>50</v>
      </c>
      <c r="L52" s="76">
        <v>160</v>
      </c>
      <c r="M52" s="81" t="s">
        <v>38</v>
      </c>
      <c r="N52" s="81" t="s">
        <v>38</v>
      </c>
      <c r="O52" s="79" t="s">
        <v>38</v>
      </c>
      <c r="P52" s="79" t="s">
        <v>38</v>
      </c>
      <c r="Q52" s="76" t="s">
        <v>151</v>
      </c>
      <c r="R52" s="79" t="s">
        <v>38</v>
      </c>
      <c r="S52" s="85" t="s">
        <v>253</v>
      </c>
      <c r="T52" s="76" t="s">
        <v>159</v>
      </c>
      <c r="U52" s="79" t="s">
        <v>38</v>
      </c>
      <c r="V52" s="79" t="s">
        <v>38</v>
      </c>
      <c r="W52" s="79" t="s">
        <v>38</v>
      </c>
      <c r="X52" s="77" t="s">
        <v>254</v>
      </c>
      <c r="Y52" s="76" t="s">
        <v>41</v>
      </c>
      <c r="Z52" s="79" t="s">
        <v>38</v>
      </c>
      <c r="AB52" s="14" t="s">
        <v>152</v>
      </c>
      <c r="AE52" s="40" t="s">
        <v>255</v>
      </c>
      <c r="AF52" s="40" t="s">
        <v>256</v>
      </c>
      <c r="AG52" s="40" t="s">
        <v>257</v>
      </c>
      <c r="AH52" s="105" t="s">
        <v>258</v>
      </c>
      <c r="AI52" s="40" t="s">
        <v>259</v>
      </c>
      <c r="AJ52" s="40" t="s">
        <v>260</v>
      </c>
      <c r="AK52" s="105" t="s">
        <v>261</v>
      </c>
      <c r="AL52" s="105" t="s">
        <v>262</v>
      </c>
    </row>
    <row r="53" spans="1:38" ht="25.5">
      <c r="A53" s="87" t="s">
        <v>263</v>
      </c>
      <c r="B53" s="78" t="s">
        <v>34</v>
      </c>
      <c r="C53" s="78" t="s">
        <v>35</v>
      </c>
      <c r="D53" s="78" t="s">
        <v>36</v>
      </c>
      <c r="E53" s="76" t="s">
        <v>117</v>
      </c>
      <c r="F53" s="76" t="str">
        <f t="shared" ref="F53:F56" si="0">CONCATENATE(AK53," / ",AL53)</f>
        <v>349 / 387</v>
      </c>
      <c r="G53" s="76">
        <v>2</v>
      </c>
      <c r="H53" s="76">
        <v>93.8</v>
      </c>
      <c r="I53" s="81" t="s">
        <v>38</v>
      </c>
      <c r="J53" s="76">
        <v>4</v>
      </c>
      <c r="K53" s="76">
        <v>50</v>
      </c>
      <c r="L53" s="76">
        <v>160</v>
      </c>
      <c r="M53" s="81" t="s">
        <v>38</v>
      </c>
      <c r="N53" s="81" t="s">
        <v>38</v>
      </c>
      <c r="O53" s="76" t="s">
        <v>264</v>
      </c>
      <c r="P53" s="76">
        <v>34</v>
      </c>
      <c r="Q53" s="76" t="s">
        <v>151</v>
      </c>
      <c r="R53" s="76">
        <v>399</v>
      </c>
      <c r="S53" s="85" t="s">
        <v>253</v>
      </c>
      <c r="T53" s="76" t="s">
        <v>159</v>
      </c>
      <c r="U53" s="76">
        <v>1.8</v>
      </c>
      <c r="V53" s="76" t="s">
        <v>265</v>
      </c>
      <c r="W53" s="76">
        <v>300</v>
      </c>
      <c r="X53" s="77" t="s">
        <v>254</v>
      </c>
      <c r="Y53" s="76" t="s">
        <v>41</v>
      </c>
      <c r="Z53" s="76" t="s">
        <v>263</v>
      </c>
      <c r="AB53" s="14" t="s">
        <v>266</v>
      </c>
      <c r="AE53">
        <v>399</v>
      </c>
      <c r="AF53">
        <v>0.874</v>
      </c>
      <c r="AG53">
        <v>0.97099999999999997</v>
      </c>
      <c r="AH53">
        <v>33471.4</v>
      </c>
      <c r="AI53" s="106">
        <f>ROUND((AE53*1000*AF53/AH53),0)</f>
        <v>10</v>
      </c>
      <c r="AJ53" s="106">
        <f>ROUND((AE53*1000*AG53/AH53),0)</f>
        <v>12</v>
      </c>
      <c r="AK53" s="106">
        <f>ROUND(AE53*AF53,0)</f>
        <v>349</v>
      </c>
      <c r="AL53" s="106">
        <f>ROUND(AE53*AG53,0)</f>
        <v>387</v>
      </c>
    </row>
    <row r="54" spans="1:38" ht="25.5">
      <c r="A54" s="88" t="s">
        <v>267</v>
      </c>
      <c r="B54" s="78" t="s">
        <v>34</v>
      </c>
      <c r="C54" s="78" t="s">
        <v>35</v>
      </c>
      <c r="D54" s="78" t="s">
        <v>36</v>
      </c>
      <c r="E54" s="76" t="s">
        <v>117</v>
      </c>
      <c r="F54" s="76" t="str">
        <f t="shared" si="0"/>
        <v>437 / 486</v>
      </c>
      <c r="G54" s="76">
        <v>2</v>
      </c>
      <c r="H54" s="76">
        <v>93.8</v>
      </c>
      <c r="I54" s="81" t="s">
        <v>38</v>
      </c>
      <c r="J54" s="76">
        <v>4</v>
      </c>
      <c r="K54" s="76">
        <v>50</v>
      </c>
      <c r="L54" s="76">
        <v>160</v>
      </c>
      <c r="M54" s="81" t="s">
        <v>38</v>
      </c>
      <c r="N54" s="81" t="s">
        <v>38</v>
      </c>
      <c r="O54" s="76" t="s">
        <v>268</v>
      </c>
      <c r="P54" s="76">
        <v>40</v>
      </c>
      <c r="Q54" s="76" t="s">
        <v>151</v>
      </c>
      <c r="R54" s="76">
        <v>500</v>
      </c>
      <c r="S54" s="85" t="s">
        <v>253</v>
      </c>
      <c r="T54" s="76" t="s">
        <v>159</v>
      </c>
      <c r="U54" s="76">
        <v>2.5</v>
      </c>
      <c r="V54" s="76" t="s">
        <v>265</v>
      </c>
      <c r="W54" s="76">
        <v>310</v>
      </c>
      <c r="X54" s="77" t="s">
        <v>254</v>
      </c>
      <c r="Y54" s="76" t="s">
        <v>41</v>
      </c>
      <c r="Z54" s="76" t="s">
        <v>267</v>
      </c>
      <c r="AB54" s="14" t="s">
        <v>269</v>
      </c>
      <c r="AE54">
        <v>500</v>
      </c>
      <c r="AF54">
        <v>0.874</v>
      </c>
      <c r="AG54">
        <v>0.97099999999999997</v>
      </c>
      <c r="AH54">
        <v>33471.4</v>
      </c>
      <c r="AI54" s="106">
        <f t="shared" ref="AI54:AI56" si="1">ROUND((AE54*1000*AF54/AH54),0)</f>
        <v>13</v>
      </c>
      <c r="AJ54" s="106">
        <f t="shared" ref="AJ54:AJ56" si="2">ROUND((AE54*1000*AG54/AH54),0)</f>
        <v>15</v>
      </c>
      <c r="AK54" s="106">
        <f t="shared" ref="AK54:AK56" si="3">ROUND(AE54*AF54,0)</f>
        <v>437</v>
      </c>
      <c r="AL54" s="106">
        <f t="shared" ref="AL54:AL56" si="4">ROUND(AE54*AG54,0)</f>
        <v>486</v>
      </c>
    </row>
    <row r="55" spans="1:38" ht="25.5">
      <c r="A55" s="87" t="s">
        <v>270</v>
      </c>
      <c r="B55" s="78" t="s">
        <v>34</v>
      </c>
      <c r="C55" s="78" t="s">
        <v>35</v>
      </c>
      <c r="D55" s="78" t="s">
        <v>36</v>
      </c>
      <c r="E55" s="76" t="s">
        <v>117</v>
      </c>
      <c r="F55" s="76" t="str">
        <f t="shared" si="0"/>
        <v>656 / 728</v>
      </c>
      <c r="G55" s="76">
        <v>3</v>
      </c>
      <c r="H55" s="76">
        <v>93.8</v>
      </c>
      <c r="I55" s="81" t="s">
        <v>38</v>
      </c>
      <c r="J55" s="76">
        <v>7</v>
      </c>
      <c r="K55" s="76">
        <v>50</v>
      </c>
      <c r="L55" s="76">
        <v>160</v>
      </c>
      <c r="M55" s="81" t="s">
        <v>38</v>
      </c>
      <c r="N55" s="81" t="s">
        <v>38</v>
      </c>
      <c r="O55" s="76" t="s">
        <v>271</v>
      </c>
      <c r="P55" s="76">
        <v>50</v>
      </c>
      <c r="Q55" s="76" t="s">
        <v>151</v>
      </c>
      <c r="R55" s="76">
        <v>750</v>
      </c>
      <c r="S55" s="85" t="s">
        <v>253</v>
      </c>
      <c r="T55" s="76" t="s">
        <v>159</v>
      </c>
      <c r="U55" s="76">
        <v>3.6</v>
      </c>
      <c r="V55" s="76" t="s">
        <v>272</v>
      </c>
      <c r="W55" s="76">
        <v>530</v>
      </c>
      <c r="X55" s="77" t="s">
        <v>254</v>
      </c>
      <c r="Y55" s="76" t="s">
        <v>41</v>
      </c>
      <c r="Z55" s="76" t="s">
        <v>270</v>
      </c>
      <c r="AB55" s="14" t="s">
        <v>162</v>
      </c>
      <c r="AE55">
        <v>750</v>
      </c>
      <c r="AF55">
        <v>0.874</v>
      </c>
      <c r="AG55">
        <v>0.97099999999999997</v>
      </c>
      <c r="AH55">
        <v>33471.4</v>
      </c>
      <c r="AI55" s="106">
        <f t="shared" si="1"/>
        <v>20</v>
      </c>
      <c r="AJ55" s="106">
        <f t="shared" si="2"/>
        <v>22</v>
      </c>
      <c r="AK55" s="106">
        <f t="shared" si="3"/>
        <v>656</v>
      </c>
      <c r="AL55" s="106">
        <f t="shared" si="4"/>
        <v>728</v>
      </c>
    </row>
    <row r="56" spans="1:38" ht="25.5">
      <c r="A56" s="88" t="s">
        <v>110</v>
      </c>
      <c r="B56" s="78" t="s">
        <v>34</v>
      </c>
      <c r="C56" s="78" t="s">
        <v>35</v>
      </c>
      <c r="D56" s="78" t="s">
        <v>36</v>
      </c>
      <c r="E56" s="76" t="s">
        <v>117</v>
      </c>
      <c r="F56" s="76" t="str">
        <f t="shared" si="0"/>
        <v>874 / 971</v>
      </c>
      <c r="G56" s="76">
        <v>4</v>
      </c>
      <c r="H56" s="76">
        <v>93.8</v>
      </c>
      <c r="I56" s="81" t="s">
        <v>38</v>
      </c>
      <c r="J56" s="76">
        <v>9</v>
      </c>
      <c r="K56" s="76">
        <v>50</v>
      </c>
      <c r="L56" s="76">
        <v>160</v>
      </c>
      <c r="M56" s="81" t="s">
        <v>38</v>
      </c>
      <c r="N56" s="81" t="s">
        <v>38</v>
      </c>
      <c r="O56" s="76" t="s">
        <v>273</v>
      </c>
      <c r="P56" s="76">
        <v>47</v>
      </c>
      <c r="Q56" s="76" t="s">
        <v>151</v>
      </c>
      <c r="R56" s="76">
        <v>1000</v>
      </c>
      <c r="S56" s="85" t="s">
        <v>253</v>
      </c>
      <c r="T56" s="76" t="s">
        <v>159</v>
      </c>
      <c r="U56" s="76">
        <v>4.9000000000000004</v>
      </c>
      <c r="V56" s="76" t="s">
        <v>272</v>
      </c>
      <c r="W56" s="76">
        <v>615</v>
      </c>
      <c r="X56" s="77" t="s">
        <v>254</v>
      </c>
      <c r="Y56" s="76" t="s">
        <v>41</v>
      </c>
      <c r="Z56" s="76" t="s">
        <v>110</v>
      </c>
      <c r="AB56" s="14" t="s">
        <v>166</v>
      </c>
      <c r="AE56">
        <v>1000</v>
      </c>
      <c r="AF56">
        <v>0.874</v>
      </c>
      <c r="AG56">
        <v>0.97099999999999997</v>
      </c>
      <c r="AH56">
        <v>33471.4</v>
      </c>
      <c r="AI56" s="106">
        <f t="shared" si="1"/>
        <v>26</v>
      </c>
      <c r="AJ56" s="106">
        <f t="shared" si="2"/>
        <v>29</v>
      </c>
      <c r="AK56" s="106">
        <f t="shared" si="3"/>
        <v>874</v>
      </c>
      <c r="AL56" s="106">
        <f t="shared" si="4"/>
        <v>971</v>
      </c>
    </row>
    <row r="61" spans="1:38" ht="17.100000000000001" customHeight="1">
      <c r="B61" s="212" t="s">
        <v>4</v>
      </c>
      <c r="C61" s="212"/>
      <c r="D61" s="212"/>
      <c r="E61" s="212"/>
      <c r="F61" s="212"/>
      <c r="G61" s="212"/>
      <c r="H61" s="212"/>
      <c r="I61" s="212"/>
      <c r="J61" s="212"/>
      <c r="K61" s="212"/>
      <c r="L61" s="212"/>
      <c r="M61" s="212"/>
      <c r="N61" s="212"/>
      <c r="O61" s="212"/>
      <c r="P61" s="212"/>
      <c r="Q61" s="212"/>
      <c r="R61" s="212"/>
      <c r="S61" s="212"/>
      <c r="T61" s="212"/>
      <c r="U61" s="212"/>
      <c r="V61" s="212"/>
      <c r="W61" s="212"/>
      <c r="X61" s="212"/>
      <c r="Y61" s="212"/>
      <c r="Z61" s="212"/>
      <c r="AA61" s="212"/>
    </row>
    <row r="62" spans="1:38">
      <c r="B62" s="75"/>
      <c r="C62" s="75"/>
      <c r="D62" s="75"/>
      <c r="E62" s="75"/>
      <c r="F62" s="75"/>
      <c r="G62" s="75"/>
      <c r="H62" s="209" t="s">
        <v>5</v>
      </c>
      <c r="I62" s="211"/>
      <c r="J62" s="211"/>
      <c r="K62" s="211"/>
      <c r="L62" s="211"/>
      <c r="M62" s="211"/>
      <c r="N62" s="211"/>
      <c r="O62" s="210"/>
      <c r="P62" s="209" t="s">
        <v>6</v>
      </c>
      <c r="Q62" s="211"/>
      <c r="R62" s="210"/>
      <c r="S62" s="212" t="s">
        <v>7</v>
      </c>
      <c r="T62" s="212"/>
      <c r="U62" s="212"/>
      <c r="V62" s="141"/>
      <c r="W62" s="141"/>
      <c r="X62" s="141"/>
      <c r="Y62" s="141"/>
      <c r="Z62" s="141"/>
      <c r="AA62" s="141"/>
      <c r="AB62" s="1"/>
    </row>
    <row r="63" spans="1:38" ht="44.1" customHeight="1">
      <c r="A63" s="5"/>
      <c r="B63" s="76" t="s">
        <v>8</v>
      </c>
      <c r="C63" s="76" t="s">
        <v>9</v>
      </c>
      <c r="D63" s="76" t="s">
        <v>10</v>
      </c>
      <c r="E63" s="77" t="s">
        <v>11</v>
      </c>
      <c r="F63" s="76" t="s">
        <v>97</v>
      </c>
      <c r="G63" s="77" t="s">
        <v>98</v>
      </c>
      <c r="H63" s="76" t="s">
        <v>14</v>
      </c>
      <c r="I63" s="77" t="s">
        <v>15</v>
      </c>
      <c r="J63" s="76" t="s">
        <v>16</v>
      </c>
      <c r="K63" s="76" t="s">
        <v>17</v>
      </c>
      <c r="L63" s="76" t="s">
        <v>113</v>
      </c>
      <c r="M63" s="76" t="s">
        <v>19</v>
      </c>
      <c r="N63" s="76" t="s">
        <v>20</v>
      </c>
      <c r="O63" s="76" t="s">
        <v>145</v>
      </c>
      <c r="P63" s="76" t="s">
        <v>22</v>
      </c>
      <c r="Q63" s="76" t="s">
        <v>23</v>
      </c>
      <c r="R63" s="76" t="s">
        <v>115</v>
      </c>
      <c r="S63" s="76" t="s">
        <v>25</v>
      </c>
      <c r="T63" s="76" t="s">
        <v>26</v>
      </c>
      <c r="U63" s="76" t="s">
        <v>99</v>
      </c>
      <c r="V63" s="76" t="s">
        <v>116</v>
      </c>
      <c r="W63" s="76" t="s">
        <v>29</v>
      </c>
      <c r="X63" s="77" t="s">
        <v>30</v>
      </c>
      <c r="Y63" s="76" t="s">
        <v>146</v>
      </c>
      <c r="Z63" s="77" t="s">
        <v>32</v>
      </c>
      <c r="AA63" s="76" t="s">
        <v>33</v>
      </c>
    </row>
    <row r="64" spans="1:38" ht="36.950000000000003" customHeight="1">
      <c r="A64" s="5" t="s">
        <v>149</v>
      </c>
      <c r="B64" s="78" t="s">
        <v>34</v>
      </c>
      <c r="C64" s="78" t="s">
        <v>35</v>
      </c>
      <c r="D64" s="78" t="s">
        <v>36</v>
      </c>
      <c r="E64" s="79" t="s">
        <v>38</v>
      </c>
      <c r="F64" s="80" t="s">
        <v>38</v>
      </c>
      <c r="G64" s="80" t="s">
        <v>38</v>
      </c>
      <c r="H64" s="81" t="s">
        <v>38</v>
      </c>
      <c r="I64" s="107" t="s">
        <v>38</v>
      </c>
      <c r="J64" s="78" t="s">
        <v>274</v>
      </c>
      <c r="K64" s="76">
        <v>80</v>
      </c>
      <c r="L64" s="81" t="s">
        <v>38</v>
      </c>
      <c r="M64" s="81" t="s">
        <v>38</v>
      </c>
      <c r="N64" s="80" t="s">
        <v>38</v>
      </c>
      <c r="O64" s="80" t="s">
        <v>38</v>
      </c>
      <c r="P64" s="76" t="s">
        <v>275</v>
      </c>
      <c r="Q64" s="80" t="s">
        <v>38</v>
      </c>
      <c r="R64" s="80" t="s">
        <v>38</v>
      </c>
      <c r="S64" s="78" t="s">
        <v>38</v>
      </c>
      <c r="T64" s="78" t="s">
        <v>38</v>
      </c>
      <c r="U64" s="103" t="s">
        <v>38</v>
      </c>
      <c r="V64" s="80" t="s">
        <v>38</v>
      </c>
      <c r="W64" s="80" t="s">
        <v>38</v>
      </c>
      <c r="X64" s="77" t="s">
        <v>39</v>
      </c>
      <c r="Y64" s="76" t="s">
        <v>100</v>
      </c>
      <c r="Z64" s="76" t="s">
        <v>41</v>
      </c>
      <c r="AA64" s="80" t="s">
        <v>38</v>
      </c>
      <c r="AB64" s="14"/>
      <c r="AC64" s="6" t="s">
        <v>276</v>
      </c>
      <c r="AD64" s="40"/>
      <c r="AE64" s="40" t="s">
        <v>255</v>
      </c>
      <c r="AF64" s="40" t="s">
        <v>256</v>
      </c>
      <c r="AG64" s="40" t="s">
        <v>277</v>
      </c>
      <c r="AH64" s="105" t="s">
        <v>258</v>
      </c>
      <c r="AI64" s="40" t="s">
        <v>259</v>
      </c>
      <c r="AJ64" s="40" t="s">
        <v>278</v>
      </c>
      <c r="AK64" s="105" t="s">
        <v>261</v>
      </c>
      <c r="AL64" s="105" t="s">
        <v>279</v>
      </c>
    </row>
    <row r="65" spans="1:38" ht="38.25">
      <c r="A65" s="2" t="s">
        <v>280</v>
      </c>
      <c r="B65" s="78" t="s">
        <v>34</v>
      </c>
      <c r="C65" s="78" t="s">
        <v>35</v>
      </c>
      <c r="D65" s="78" t="s">
        <v>36</v>
      </c>
      <c r="E65" s="76" t="s">
        <v>37</v>
      </c>
      <c r="F65" s="76" t="str">
        <f>CONCATENATE(AK65," / ",AL65)</f>
        <v>2577 / 2781</v>
      </c>
      <c r="G65" s="76">
        <v>92</v>
      </c>
      <c r="H65" s="81" t="s">
        <v>38</v>
      </c>
      <c r="I65" s="107">
        <v>407</v>
      </c>
      <c r="J65" s="78" t="s">
        <v>274</v>
      </c>
      <c r="K65" s="76">
        <v>80</v>
      </c>
      <c r="L65" s="81" t="s">
        <v>38</v>
      </c>
      <c r="M65" s="81" t="s">
        <v>38</v>
      </c>
      <c r="N65" s="76" t="s">
        <v>281</v>
      </c>
      <c r="O65" s="76" t="s">
        <v>282</v>
      </c>
      <c r="P65" s="76" t="s">
        <v>275</v>
      </c>
      <c r="Q65" s="76">
        <v>3000</v>
      </c>
      <c r="R65" s="82" t="s">
        <v>283</v>
      </c>
      <c r="S65" s="78" t="s">
        <v>208</v>
      </c>
      <c r="T65" s="78" t="s">
        <v>284</v>
      </c>
      <c r="U65" s="104" t="s">
        <v>285</v>
      </c>
      <c r="V65" s="76" t="s">
        <v>286</v>
      </c>
      <c r="W65" s="76">
        <v>10694</v>
      </c>
      <c r="X65" s="77" t="s">
        <v>39</v>
      </c>
      <c r="Y65" s="76" t="s">
        <v>100</v>
      </c>
      <c r="Z65" s="76" t="s">
        <v>41</v>
      </c>
      <c r="AA65" s="76" t="s">
        <v>280</v>
      </c>
      <c r="AB65" s="14"/>
      <c r="AC65" s="6" t="s">
        <v>287</v>
      </c>
      <c r="AD65" s="40"/>
      <c r="AE65">
        <v>3000</v>
      </c>
      <c r="AF65">
        <v>0.85899999999999999</v>
      </c>
      <c r="AG65">
        <v>0.92700000000000005</v>
      </c>
      <c r="AH65">
        <v>33471.4</v>
      </c>
      <c r="AI65" s="106">
        <f>ROUND((AE65*1000*AF65/AH65),0)</f>
        <v>77</v>
      </c>
      <c r="AJ65" s="106">
        <f>ROUND((AE65*1000*AG65/AH65),0)</f>
        <v>83</v>
      </c>
      <c r="AK65">
        <f>AE65*AF65</f>
        <v>2577</v>
      </c>
      <c r="AL65">
        <f>AE65*AG65</f>
        <v>2781</v>
      </c>
    </row>
    <row r="66" spans="1:38" ht="38.25">
      <c r="A66" s="3" t="s">
        <v>288</v>
      </c>
      <c r="B66" s="78" t="s">
        <v>34</v>
      </c>
      <c r="C66" s="78" t="s">
        <v>35</v>
      </c>
      <c r="D66" s="78" t="s">
        <v>36</v>
      </c>
      <c r="E66" s="76" t="s">
        <v>37</v>
      </c>
      <c r="F66" s="76" t="str">
        <f t="shared" ref="F66:F70" si="5">CONCATENATE(AK66," / ",AL66)</f>
        <v>3436 / 3708</v>
      </c>
      <c r="G66" s="76">
        <v>92</v>
      </c>
      <c r="H66" s="81" t="s">
        <v>38</v>
      </c>
      <c r="I66" s="107">
        <v>464</v>
      </c>
      <c r="J66" s="78" t="s">
        <v>274</v>
      </c>
      <c r="K66" s="76">
        <v>80</v>
      </c>
      <c r="L66" s="81" t="s">
        <v>38</v>
      </c>
      <c r="M66" s="81" t="s">
        <v>38</v>
      </c>
      <c r="N66" s="76" t="s">
        <v>289</v>
      </c>
      <c r="O66" s="76" t="s">
        <v>290</v>
      </c>
      <c r="P66" s="76" t="s">
        <v>275</v>
      </c>
      <c r="Q66" s="76">
        <v>4000</v>
      </c>
      <c r="R66" s="82" t="s">
        <v>283</v>
      </c>
      <c r="S66" s="78" t="s">
        <v>208</v>
      </c>
      <c r="T66" s="78" t="s">
        <v>291</v>
      </c>
      <c r="U66" s="104" t="s">
        <v>292</v>
      </c>
      <c r="V66" s="76" t="s">
        <v>293</v>
      </c>
      <c r="W66" s="76">
        <v>14030</v>
      </c>
      <c r="X66" s="77" t="s">
        <v>39</v>
      </c>
      <c r="Y66" s="76" t="s">
        <v>100</v>
      </c>
      <c r="Z66" s="76" t="s">
        <v>41</v>
      </c>
      <c r="AA66" s="76" t="s">
        <v>288</v>
      </c>
      <c r="AB66" s="14"/>
      <c r="AC66" s="6" t="s">
        <v>287</v>
      </c>
      <c r="AD66" s="40"/>
      <c r="AE66">
        <v>4000</v>
      </c>
      <c r="AF66">
        <v>0.85899999999999999</v>
      </c>
      <c r="AG66">
        <v>0.92700000000000005</v>
      </c>
      <c r="AH66">
        <v>33471.4</v>
      </c>
      <c r="AI66" s="106">
        <f t="shared" ref="AI66:AI70" si="6">ROUND((AE66*1000*AF66/AH66),0)</f>
        <v>103</v>
      </c>
      <c r="AJ66" s="106">
        <f t="shared" ref="AJ66:AJ70" si="7">ROUND((AE66*1000*AG66/AH66),0)</f>
        <v>111</v>
      </c>
      <c r="AK66">
        <f t="shared" ref="AK66:AK70" si="8">AE66*AF66</f>
        <v>3436</v>
      </c>
      <c r="AL66">
        <f t="shared" ref="AL66:AL70" si="9">AE66*AG66</f>
        <v>3708</v>
      </c>
    </row>
    <row r="67" spans="1:38" ht="38.25">
      <c r="A67" s="2" t="s">
        <v>294</v>
      </c>
      <c r="B67" s="78" t="s">
        <v>34</v>
      </c>
      <c r="C67" s="78" t="s">
        <v>35</v>
      </c>
      <c r="D67" s="78" t="s">
        <v>36</v>
      </c>
      <c r="E67" s="76" t="s">
        <v>37</v>
      </c>
      <c r="F67" s="76" t="str">
        <f t="shared" si="5"/>
        <v>4295 / 4635</v>
      </c>
      <c r="G67" s="76">
        <v>92</v>
      </c>
      <c r="H67" s="81" t="s">
        <v>38</v>
      </c>
      <c r="I67" s="107">
        <v>518</v>
      </c>
      <c r="J67" s="78" t="s">
        <v>274</v>
      </c>
      <c r="K67" s="76">
        <v>80</v>
      </c>
      <c r="L67" s="81" t="s">
        <v>38</v>
      </c>
      <c r="M67" s="81" t="s">
        <v>38</v>
      </c>
      <c r="N67" s="76" t="s">
        <v>295</v>
      </c>
      <c r="O67" s="76" t="s">
        <v>296</v>
      </c>
      <c r="P67" s="76" t="s">
        <v>275</v>
      </c>
      <c r="Q67" s="76">
        <v>5000</v>
      </c>
      <c r="R67" s="82" t="s">
        <v>283</v>
      </c>
      <c r="S67" s="78" t="s">
        <v>208</v>
      </c>
      <c r="T67" s="78" t="s">
        <v>291</v>
      </c>
      <c r="U67" s="104" t="s">
        <v>292</v>
      </c>
      <c r="V67" s="76" t="s">
        <v>297</v>
      </c>
      <c r="W67" s="76">
        <v>15383</v>
      </c>
      <c r="X67" s="77" t="s">
        <v>39</v>
      </c>
      <c r="Y67" s="76" t="s">
        <v>100</v>
      </c>
      <c r="Z67" s="76" t="s">
        <v>41</v>
      </c>
      <c r="AA67" s="76" t="s">
        <v>294</v>
      </c>
      <c r="AB67" s="14"/>
      <c r="AC67" s="6" t="s">
        <v>287</v>
      </c>
      <c r="AD67" s="40"/>
      <c r="AE67">
        <v>5000</v>
      </c>
      <c r="AF67">
        <v>0.85899999999999999</v>
      </c>
      <c r="AG67">
        <v>0.92700000000000005</v>
      </c>
      <c r="AH67">
        <v>33471.4</v>
      </c>
      <c r="AI67" s="106">
        <f t="shared" si="6"/>
        <v>128</v>
      </c>
      <c r="AJ67" s="106">
        <f t="shared" si="7"/>
        <v>138</v>
      </c>
      <c r="AK67">
        <f t="shared" si="8"/>
        <v>4295</v>
      </c>
      <c r="AL67">
        <f t="shared" si="9"/>
        <v>4635</v>
      </c>
    </row>
    <row r="68" spans="1:38" ht="38.25">
      <c r="A68" s="3" t="s">
        <v>298</v>
      </c>
      <c r="B68" s="78" t="s">
        <v>34</v>
      </c>
      <c r="C68" s="78" t="s">
        <v>35</v>
      </c>
      <c r="D68" s="78" t="s">
        <v>36</v>
      </c>
      <c r="E68" s="76" t="s">
        <v>37</v>
      </c>
      <c r="F68" s="76" t="str">
        <f t="shared" si="5"/>
        <v>5154 / 5562</v>
      </c>
      <c r="G68" s="76">
        <v>92</v>
      </c>
      <c r="H68" s="81" t="s">
        <v>38</v>
      </c>
      <c r="I68" s="107">
        <v>724</v>
      </c>
      <c r="J68" s="78" t="s">
        <v>274</v>
      </c>
      <c r="K68" s="76">
        <v>80</v>
      </c>
      <c r="L68" s="81" t="s">
        <v>38</v>
      </c>
      <c r="M68" s="81" t="s">
        <v>38</v>
      </c>
      <c r="N68" s="76" t="s">
        <v>299</v>
      </c>
      <c r="O68" s="76" t="s">
        <v>300</v>
      </c>
      <c r="P68" s="76" t="s">
        <v>275</v>
      </c>
      <c r="Q68" s="76">
        <v>6000</v>
      </c>
      <c r="R68" s="82" t="s">
        <v>301</v>
      </c>
      <c r="S68" s="78" t="s">
        <v>208</v>
      </c>
      <c r="T68" s="78" t="s">
        <v>291</v>
      </c>
      <c r="U68" s="104" t="s">
        <v>292</v>
      </c>
      <c r="V68" s="76" t="s">
        <v>302</v>
      </c>
      <c r="W68" s="76">
        <v>19403</v>
      </c>
      <c r="X68" s="77" t="s">
        <v>39</v>
      </c>
      <c r="Y68" s="76" t="s">
        <v>100</v>
      </c>
      <c r="Z68" s="76" t="s">
        <v>41</v>
      </c>
      <c r="AA68" s="76" t="s">
        <v>298</v>
      </c>
      <c r="AB68" s="14"/>
      <c r="AC68" s="6" t="s">
        <v>303</v>
      </c>
      <c r="AD68" s="40"/>
      <c r="AE68">
        <v>6000</v>
      </c>
      <c r="AF68">
        <v>0.85899999999999999</v>
      </c>
      <c r="AG68">
        <v>0.92700000000000005</v>
      </c>
      <c r="AH68">
        <v>33471.4</v>
      </c>
      <c r="AI68" s="106">
        <f t="shared" si="6"/>
        <v>154</v>
      </c>
      <c r="AJ68" s="106">
        <f t="shared" si="7"/>
        <v>166</v>
      </c>
      <c r="AK68">
        <f t="shared" si="8"/>
        <v>5154</v>
      </c>
      <c r="AL68">
        <f t="shared" si="9"/>
        <v>5562</v>
      </c>
    </row>
    <row r="69" spans="1:38" ht="38.25">
      <c r="A69" s="2" t="s">
        <v>96</v>
      </c>
      <c r="B69" s="78" t="s">
        <v>34</v>
      </c>
      <c r="C69" s="78" t="s">
        <v>35</v>
      </c>
      <c r="D69" s="78" t="s">
        <v>36</v>
      </c>
      <c r="E69" s="76" t="s">
        <v>37</v>
      </c>
      <c r="F69" s="76" t="str">
        <f t="shared" si="5"/>
        <v>6872 / 7416</v>
      </c>
      <c r="G69" s="76">
        <v>92</v>
      </c>
      <c r="H69" s="81" t="s">
        <v>38</v>
      </c>
      <c r="I69" s="107">
        <v>898</v>
      </c>
      <c r="J69" s="78" t="s">
        <v>274</v>
      </c>
      <c r="K69" s="76">
        <v>80</v>
      </c>
      <c r="L69" s="81" t="s">
        <v>38</v>
      </c>
      <c r="M69" s="81" t="s">
        <v>38</v>
      </c>
      <c r="N69" s="76" t="s">
        <v>304</v>
      </c>
      <c r="O69" s="76" t="s">
        <v>305</v>
      </c>
      <c r="P69" s="76" t="s">
        <v>275</v>
      </c>
      <c r="Q69" s="76">
        <v>8000</v>
      </c>
      <c r="R69" s="82" t="s">
        <v>301</v>
      </c>
      <c r="S69" s="78" t="s">
        <v>208</v>
      </c>
      <c r="T69" s="78" t="s">
        <v>306</v>
      </c>
      <c r="U69" s="104" t="s">
        <v>307</v>
      </c>
      <c r="V69" s="76" t="s">
        <v>308</v>
      </c>
      <c r="W69" s="76">
        <v>24134</v>
      </c>
      <c r="X69" s="77" t="s">
        <v>39</v>
      </c>
      <c r="Y69" s="76" t="s">
        <v>100</v>
      </c>
      <c r="Z69" s="76" t="s">
        <v>41</v>
      </c>
      <c r="AA69" s="76" t="s">
        <v>96</v>
      </c>
      <c r="AB69" s="14"/>
      <c r="AC69" s="6" t="s">
        <v>309</v>
      </c>
      <c r="AD69" s="40"/>
      <c r="AE69">
        <v>8000</v>
      </c>
      <c r="AF69">
        <v>0.85899999999999999</v>
      </c>
      <c r="AG69">
        <v>0.92700000000000005</v>
      </c>
      <c r="AH69">
        <v>33471.4</v>
      </c>
      <c r="AI69" s="106">
        <f t="shared" si="6"/>
        <v>205</v>
      </c>
      <c r="AJ69" s="106">
        <f t="shared" si="7"/>
        <v>222</v>
      </c>
      <c r="AK69">
        <f t="shared" si="8"/>
        <v>6872</v>
      </c>
      <c r="AL69">
        <f t="shared" si="9"/>
        <v>7416</v>
      </c>
    </row>
    <row r="70" spans="1:38" ht="38.25">
      <c r="A70" s="3" t="s">
        <v>310</v>
      </c>
      <c r="B70" s="78" t="s">
        <v>34</v>
      </c>
      <c r="C70" s="78" t="s">
        <v>35</v>
      </c>
      <c r="D70" s="78" t="s">
        <v>36</v>
      </c>
      <c r="E70" s="76" t="s">
        <v>37</v>
      </c>
      <c r="F70" s="76" t="str">
        <f t="shared" si="5"/>
        <v>8590 / 9270</v>
      </c>
      <c r="G70" s="76">
        <v>92</v>
      </c>
      <c r="H70" s="81" t="s">
        <v>38</v>
      </c>
      <c r="I70" s="107">
        <v>1043</v>
      </c>
      <c r="J70" s="78" t="s">
        <v>274</v>
      </c>
      <c r="K70" s="76">
        <v>80</v>
      </c>
      <c r="L70" s="81" t="s">
        <v>38</v>
      </c>
      <c r="M70" s="81" t="s">
        <v>38</v>
      </c>
      <c r="N70" s="76" t="s">
        <v>311</v>
      </c>
      <c r="O70" s="76" t="s">
        <v>312</v>
      </c>
      <c r="P70" s="76" t="s">
        <v>275</v>
      </c>
      <c r="Q70" s="76">
        <v>10000</v>
      </c>
      <c r="R70" s="82" t="s">
        <v>301</v>
      </c>
      <c r="S70" s="78" t="s">
        <v>208</v>
      </c>
      <c r="T70" s="78" t="s">
        <v>306</v>
      </c>
      <c r="U70" s="104" t="s">
        <v>307</v>
      </c>
      <c r="V70" s="76" t="s">
        <v>313</v>
      </c>
      <c r="W70" s="76">
        <v>27219</v>
      </c>
      <c r="X70" s="77" t="s">
        <v>39</v>
      </c>
      <c r="Y70" s="76" t="s">
        <v>100</v>
      </c>
      <c r="Z70" s="76" t="s">
        <v>41</v>
      </c>
      <c r="AA70" s="76" t="s">
        <v>310</v>
      </c>
      <c r="AB70" s="14"/>
      <c r="AC70" s="6" t="s">
        <v>309</v>
      </c>
      <c r="AD70" s="40"/>
      <c r="AE70">
        <v>10000</v>
      </c>
      <c r="AF70">
        <v>0.85899999999999999</v>
      </c>
      <c r="AG70">
        <v>0.92700000000000005</v>
      </c>
      <c r="AH70">
        <v>33471.4</v>
      </c>
      <c r="AI70" s="106">
        <f t="shared" si="6"/>
        <v>257</v>
      </c>
      <c r="AJ70" s="106">
        <f t="shared" si="7"/>
        <v>277</v>
      </c>
      <c r="AK70">
        <f t="shared" si="8"/>
        <v>8590</v>
      </c>
      <c r="AL70">
        <f t="shared" si="9"/>
        <v>9270</v>
      </c>
    </row>
    <row r="71" spans="1:38">
      <c r="A71" s="38"/>
      <c r="B71" s="38"/>
      <c r="C71" s="38"/>
    </row>
    <row r="72" spans="1:38">
      <c r="A72" s="38"/>
      <c r="B72" s="38"/>
      <c r="C72" s="38"/>
    </row>
    <row r="73" spans="1:38">
      <c r="A73" s="38"/>
      <c r="B73" s="38"/>
      <c r="C73" s="38"/>
    </row>
    <row r="74" spans="1:38">
      <c r="A74" s="38"/>
      <c r="B74" s="38"/>
      <c r="C74" s="38"/>
    </row>
    <row r="75" spans="1:38" ht="17.100000000000001" customHeight="1">
      <c r="B75" s="212" t="s">
        <v>314</v>
      </c>
      <c r="C75" s="212"/>
      <c r="D75" s="212"/>
      <c r="E75" s="212"/>
      <c r="F75" s="212"/>
      <c r="G75" s="212"/>
      <c r="H75" s="212"/>
      <c r="I75" s="212"/>
      <c r="J75" s="212"/>
      <c r="K75" s="212"/>
      <c r="L75" s="212"/>
      <c r="M75" s="212"/>
      <c r="N75" s="212"/>
      <c r="O75" s="212"/>
      <c r="P75" s="212"/>
      <c r="Q75" s="212"/>
      <c r="R75" s="212"/>
      <c r="S75" s="212"/>
      <c r="T75" s="212"/>
      <c r="U75" s="212"/>
      <c r="V75" s="212"/>
      <c r="W75" s="212"/>
      <c r="X75" s="212"/>
      <c r="Y75" s="212"/>
      <c r="Z75" s="212"/>
      <c r="AA75" s="212"/>
    </row>
    <row r="76" spans="1:38">
      <c r="B76" s="75"/>
      <c r="C76" s="75"/>
      <c r="D76" s="75"/>
      <c r="E76" s="75"/>
      <c r="F76" s="75"/>
      <c r="G76" s="75"/>
      <c r="H76" s="209" t="s">
        <v>5</v>
      </c>
      <c r="I76" s="211"/>
      <c r="J76" s="211"/>
      <c r="K76" s="211"/>
      <c r="L76" s="211"/>
      <c r="M76" s="211"/>
      <c r="N76" s="211"/>
      <c r="O76" s="210"/>
      <c r="P76" s="209" t="s">
        <v>6</v>
      </c>
      <c r="Q76" s="211"/>
      <c r="R76" s="210"/>
      <c r="S76" s="212" t="s">
        <v>7</v>
      </c>
      <c r="T76" s="212"/>
      <c r="U76" s="212"/>
      <c r="V76" s="141"/>
      <c r="W76" s="141"/>
      <c r="X76" s="141"/>
      <c r="Y76" s="141"/>
      <c r="Z76" s="141"/>
      <c r="AA76" s="141"/>
      <c r="AB76" s="1"/>
    </row>
    <row r="77" spans="1:38" ht="44.1" customHeight="1">
      <c r="A77" s="5"/>
      <c r="B77" s="76" t="s">
        <v>8</v>
      </c>
      <c r="C77" s="76" t="s">
        <v>9</v>
      </c>
      <c r="D77" s="76" t="s">
        <v>10</v>
      </c>
      <c r="E77" s="77" t="s">
        <v>315</v>
      </c>
      <c r="F77" s="76" t="s">
        <v>12</v>
      </c>
      <c r="G77" s="77" t="s">
        <v>13</v>
      </c>
      <c r="H77" s="76" t="s">
        <v>14</v>
      </c>
      <c r="I77" s="77" t="s">
        <v>316</v>
      </c>
      <c r="J77" s="76" t="s">
        <v>16</v>
      </c>
      <c r="K77" s="76" t="s">
        <v>317</v>
      </c>
      <c r="L77" s="76" t="s">
        <v>113</v>
      </c>
      <c r="M77" s="76" t="s">
        <v>19</v>
      </c>
      <c r="N77" s="42" t="s">
        <v>318</v>
      </c>
      <c r="O77" s="76" t="s">
        <v>145</v>
      </c>
      <c r="P77" s="76" t="s">
        <v>22</v>
      </c>
      <c r="Q77" s="76" t="s">
        <v>23</v>
      </c>
      <c r="R77" s="76" t="s">
        <v>115</v>
      </c>
      <c r="S77" s="76" t="s">
        <v>25</v>
      </c>
      <c r="T77" s="76" t="s">
        <v>26</v>
      </c>
      <c r="U77" s="76" t="s">
        <v>27</v>
      </c>
      <c r="V77" s="76" t="s">
        <v>116</v>
      </c>
      <c r="W77" s="76" t="s">
        <v>29</v>
      </c>
      <c r="X77" s="77" t="s">
        <v>30</v>
      </c>
      <c r="Y77" s="76" t="s">
        <v>146</v>
      </c>
      <c r="Z77" s="77" t="s">
        <v>32</v>
      </c>
      <c r="AA77" s="76" t="s">
        <v>33</v>
      </c>
    </row>
    <row r="78" spans="1:38" ht="36.950000000000003" customHeight="1">
      <c r="A78" s="5" t="s">
        <v>149</v>
      </c>
      <c r="B78" s="78" t="s">
        <v>319</v>
      </c>
      <c r="C78" s="78" t="s">
        <v>35</v>
      </c>
      <c r="D78" s="78" t="s">
        <v>320</v>
      </c>
      <c r="E78" s="79" t="s">
        <v>38</v>
      </c>
      <c r="F78" s="80" t="s">
        <v>38</v>
      </c>
      <c r="G78" s="75"/>
      <c r="H78" s="81" t="s">
        <v>38</v>
      </c>
      <c r="I78" s="81"/>
      <c r="J78" s="78">
        <v>150</v>
      </c>
      <c r="K78" s="76">
        <v>160</v>
      </c>
      <c r="L78" s="81" t="s">
        <v>38</v>
      </c>
      <c r="M78" s="81" t="s">
        <v>38</v>
      </c>
      <c r="N78" s="81" t="s">
        <v>321</v>
      </c>
      <c r="O78" s="80" t="s">
        <v>38</v>
      </c>
      <c r="P78" s="76" t="s">
        <v>151</v>
      </c>
      <c r="Q78" s="80" t="s">
        <v>38</v>
      </c>
      <c r="R78" s="80" t="s">
        <v>38</v>
      </c>
      <c r="S78" s="80" t="s">
        <v>38</v>
      </c>
      <c r="T78" s="80" t="s">
        <v>38</v>
      </c>
      <c r="U78" s="80" t="s">
        <v>38</v>
      </c>
      <c r="V78" s="80" t="s">
        <v>38</v>
      </c>
      <c r="W78" s="80" t="s">
        <v>38</v>
      </c>
      <c r="X78" s="80"/>
      <c r="Y78" s="76" t="s">
        <v>40</v>
      </c>
      <c r="Z78" s="76" t="s">
        <v>41</v>
      </c>
      <c r="AA78" s="80" t="s">
        <v>38</v>
      </c>
      <c r="AB78" s="14" t="s">
        <v>152</v>
      </c>
      <c r="AC78" s="6" t="s">
        <v>153</v>
      </c>
      <c r="AD78" s="6" t="s">
        <v>153</v>
      </c>
    </row>
    <row r="79" spans="1:38" ht="25.5">
      <c r="A79" s="2" t="s">
        <v>322</v>
      </c>
      <c r="B79" s="78" t="s">
        <v>319</v>
      </c>
      <c r="C79" s="78" t="s">
        <v>35</v>
      </c>
      <c r="D79" s="78" t="s">
        <v>320</v>
      </c>
      <c r="E79" s="76" t="s">
        <v>37</v>
      </c>
      <c r="F79" s="76" t="s">
        <v>155</v>
      </c>
      <c r="G79" s="76">
        <v>95.5</v>
      </c>
      <c r="H79" s="81" t="s">
        <v>38</v>
      </c>
      <c r="I79" s="81">
        <v>16.25</v>
      </c>
      <c r="J79" s="78">
        <v>150</v>
      </c>
      <c r="K79" s="76">
        <v>160</v>
      </c>
      <c r="L79" s="81" t="s">
        <v>38</v>
      </c>
      <c r="M79" s="81" t="s">
        <v>38</v>
      </c>
      <c r="N79" s="81" t="s">
        <v>321</v>
      </c>
      <c r="O79" s="76" t="s">
        <v>157</v>
      </c>
      <c r="P79" s="76" t="s">
        <v>151</v>
      </c>
      <c r="Q79" s="76">
        <v>750</v>
      </c>
      <c r="R79" s="82" t="s">
        <v>158</v>
      </c>
      <c r="S79" s="76" t="s">
        <v>159</v>
      </c>
      <c r="T79" s="76">
        <v>13</v>
      </c>
      <c r="U79" s="83">
        <v>1</v>
      </c>
      <c r="V79" s="76" t="s">
        <v>160</v>
      </c>
      <c r="W79" s="76">
        <v>820</v>
      </c>
      <c r="X79" s="77" t="s">
        <v>39</v>
      </c>
      <c r="Y79" s="76" t="s">
        <v>40</v>
      </c>
      <c r="Z79" s="76" t="s">
        <v>41</v>
      </c>
      <c r="AA79" s="76" t="s">
        <v>322</v>
      </c>
      <c r="AB79" s="14" t="s">
        <v>162</v>
      </c>
      <c r="AC79" s="6" t="s">
        <v>122</v>
      </c>
      <c r="AD79" s="6" t="s">
        <v>122</v>
      </c>
    </row>
    <row r="80" spans="1:38" ht="25.5">
      <c r="A80" s="3" t="s">
        <v>323</v>
      </c>
      <c r="B80" s="78" t="s">
        <v>319</v>
      </c>
      <c r="C80" s="78" t="s">
        <v>35</v>
      </c>
      <c r="D80" s="78" t="s">
        <v>320</v>
      </c>
      <c r="E80" s="76" t="s">
        <v>37</v>
      </c>
      <c r="F80" s="76" t="s">
        <v>164</v>
      </c>
      <c r="G80" s="76">
        <v>96.8</v>
      </c>
      <c r="H80" s="81" t="s">
        <v>38</v>
      </c>
      <c r="I80" s="81">
        <v>14.25</v>
      </c>
      <c r="J80" s="78">
        <v>150</v>
      </c>
      <c r="K80" s="76">
        <v>160</v>
      </c>
      <c r="L80" s="81" t="s">
        <v>38</v>
      </c>
      <c r="M80" s="81" t="s">
        <v>38</v>
      </c>
      <c r="N80" s="81" t="s">
        <v>321</v>
      </c>
      <c r="O80" s="76" t="s">
        <v>157</v>
      </c>
      <c r="P80" s="76" t="s">
        <v>151</v>
      </c>
      <c r="Q80" s="76">
        <v>1000</v>
      </c>
      <c r="R80" s="82" t="s">
        <v>158</v>
      </c>
      <c r="S80" s="76" t="s">
        <v>159</v>
      </c>
      <c r="T80" s="76">
        <v>13</v>
      </c>
      <c r="U80" s="83">
        <v>1</v>
      </c>
      <c r="V80" s="76" t="s">
        <v>160</v>
      </c>
      <c r="W80" s="76">
        <v>820</v>
      </c>
      <c r="X80" s="77" t="s">
        <v>39</v>
      </c>
      <c r="Y80" s="76" t="s">
        <v>40</v>
      </c>
      <c r="Z80" s="76" t="s">
        <v>41</v>
      </c>
      <c r="AA80" s="76" t="s">
        <v>323</v>
      </c>
      <c r="AB80" s="14" t="s">
        <v>166</v>
      </c>
      <c r="AC80" s="6" t="s">
        <v>122</v>
      </c>
      <c r="AD80" s="6" t="s">
        <v>122</v>
      </c>
    </row>
    <row r="81" spans="1:38" ht="25.5">
      <c r="A81" s="2" t="s">
        <v>324</v>
      </c>
      <c r="B81" s="78" t="s">
        <v>319</v>
      </c>
      <c r="C81" s="78" t="s">
        <v>35</v>
      </c>
      <c r="D81" s="78" t="s">
        <v>320</v>
      </c>
      <c r="E81" s="76" t="s">
        <v>37</v>
      </c>
      <c r="F81" s="76" t="s">
        <v>168</v>
      </c>
      <c r="G81" s="76">
        <v>94.6</v>
      </c>
      <c r="H81" s="81" t="s">
        <v>38</v>
      </c>
      <c r="I81" s="81">
        <v>44</v>
      </c>
      <c r="J81" s="78">
        <v>150</v>
      </c>
      <c r="K81" s="76">
        <v>160</v>
      </c>
      <c r="L81" s="81" t="s">
        <v>38</v>
      </c>
      <c r="M81" s="81" t="s">
        <v>38</v>
      </c>
      <c r="N81" s="81" t="s">
        <v>321</v>
      </c>
      <c r="O81" s="76" t="s">
        <v>170</v>
      </c>
      <c r="P81" s="76" t="s">
        <v>151</v>
      </c>
      <c r="Q81" s="76">
        <v>1500</v>
      </c>
      <c r="R81" s="82" t="s">
        <v>158</v>
      </c>
      <c r="S81" s="76" t="s">
        <v>159</v>
      </c>
      <c r="T81" s="76">
        <v>16</v>
      </c>
      <c r="U81" s="83">
        <v>1.6</v>
      </c>
      <c r="V81" s="76" t="s">
        <v>171</v>
      </c>
      <c r="W81" s="76">
        <v>1654</v>
      </c>
      <c r="X81" s="77" t="s">
        <v>39</v>
      </c>
      <c r="Y81" s="76" t="s">
        <v>40</v>
      </c>
      <c r="Z81" s="76" t="s">
        <v>41</v>
      </c>
      <c r="AA81" s="76" t="s">
        <v>324</v>
      </c>
      <c r="AB81" s="14" t="s">
        <v>166</v>
      </c>
      <c r="AC81" s="6" t="s">
        <v>122</v>
      </c>
      <c r="AD81" s="6" t="s">
        <v>122</v>
      </c>
    </row>
    <row r="82" spans="1:38" ht="25.5">
      <c r="A82" s="3" t="s">
        <v>325</v>
      </c>
      <c r="B82" s="78" t="s">
        <v>319</v>
      </c>
      <c r="C82" s="78" t="s">
        <v>35</v>
      </c>
      <c r="D82" s="78" t="s">
        <v>320</v>
      </c>
      <c r="E82" s="76" t="s">
        <v>37</v>
      </c>
      <c r="F82" s="76" t="s">
        <v>174</v>
      </c>
      <c r="G82" s="76">
        <v>94.6</v>
      </c>
      <c r="H82" s="81" t="s">
        <v>38</v>
      </c>
      <c r="I82" s="81">
        <v>40</v>
      </c>
      <c r="J82" s="78">
        <v>150</v>
      </c>
      <c r="K82" s="76">
        <v>160</v>
      </c>
      <c r="L82" s="81" t="s">
        <v>38</v>
      </c>
      <c r="M82" s="81" t="s">
        <v>38</v>
      </c>
      <c r="N82" s="81" t="s">
        <v>321</v>
      </c>
      <c r="O82" s="76" t="s">
        <v>170</v>
      </c>
      <c r="P82" s="76" t="s">
        <v>151</v>
      </c>
      <c r="Q82" s="76">
        <v>2000</v>
      </c>
      <c r="R82" s="82" t="s">
        <v>158</v>
      </c>
      <c r="S82" s="76" t="s">
        <v>159</v>
      </c>
      <c r="T82" s="76">
        <v>16</v>
      </c>
      <c r="U82" s="83">
        <v>1.6</v>
      </c>
      <c r="V82" s="76" t="s">
        <v>176</v>
      </c>
      <c r="W82" s="76">
        <v>1654</v>
      </c>
      <c r="X82" s="77" t="s">
        <v>39</v>
      </c>
      <c r="Y82" s="76" t="s">
        <v>40</v>
      </c>
      <c r="Z82" s="76" t="s">
        <v>41</v>
      </c>
      <c r="AA82" s="76" t="s">
        <v>325</v>
      </c>
      <c r="AB82" s="14" t="s">
        <v>166</v>
      </c>
      <c r="AC82" s="6" t="s">
        <v>122</v>
      </c>
      <c r="AD82" s="6" t="s">
        <v>122</v>
      </c>
    </row>
    <row r="88" spans="1:38" ht="17.100000000000001" customHeight="1">
      <c r="B88" s="212" t="s">
        <v>4</v>
      </c>
      <c r="C88" s="212"/>
      <c r="D88" s="212"/>
      <c r="E88" s="212"/>
      <c r="F88" s="212"/>
      <c r="G88" s="212"/>
      <c r="H88" s="212"/>
      <c r="I88" s="212"/>
      <c r="J88" s="212"/>
      <c r="K88" s="212"/>
      <c r="L88" s="212"/>
      <c r="M88" s="212"/>
      <c r="N88" s="212"/>
      <c r="O88" s="212"/>
      <c r="P88" s="212"/>
      <c r="Q88" s="212"/>
      <c r="R88" s="212"/>
      <c r="S88" s="212"/>
      <c r="T88" s="212"/>
      <c r="U88" s="212"/>
      <c r="V88" s="212"/>
      <c r="W88" s="212"/>
      <c r="X88" s="212"/>
      <c r="Y88" s="212"/>
      <c r="Z88" s="212"/>
      <c r="AA88" s="212"/>
    </row>
    <row r="89" spans="1:38" ht="15.75" customHeight="1">
      <c r="B89" s="75"/>
      <c r="C89" s="75"/>
      <c r="D89" s="75"/>
      <c r="E89" s="75"/>
      <c r="F89" s="75"/>
      <c r="G89" s="75"/>
      <c r="H89" s="209" t="s">
        <v>5</v>
      </c>
      <c r="I89" s="211"/>
      <c r="J89" s="211"/>
      <c r="K89" s="211"/>
      <c r="L89" s="211"/>
      <c r="M89" s="211"/>
      <c r="N89" s="211"/>
      <c r="O89" s="211"/>
      <c r="P89" s="210"/>
      <c r="Q89" s="209" t="s">
        <v>6</v>
      </c>
      <c r="R89" s="211"/>
      <c r="S89" s="210"/>
      <c r="T89" s="212" t="s">
        <v>7</v>
      </c>
      <c r="U89" s="212"/>
      <c r="V89" s="141"/>
      <c r="W89" s="141"/>
      <c r="X89" s="141"/>
      <c r="Y89" s="141"/>
      <c r="Z89" s="141"/>
      <c r="AA89" s="141"/>
    </row>
    <row r="90" spans="1:38" ht="44.1" customHeight="1">
      <c r="A90" s="5"/>
      <c r="B90" s="76" t="s">
        <v>8</v>
      </c>
      <c r="C90" s="76" t="s">
        <v>9</v>
      </c>
      <c r="D90" s="76" t="s">
        <v>10</v>
      </c>
      <c r="E90" s="77" t="s">
        <v>11</v>
      </c>
      <c r="F90" s="76" t="s">
        <v>12</v>
      </c>
      <c r="G90" s="76" t="s">
        <v>112</v>
      </c>
      <c r="H90" s="77" t="s">
        <v>13</v>
      </c>
      <c r="I90" s="76" t="s">
        <v>14</v>
      </c>
      <c r="J90" s="77" t="s">
        <v>15</v>
      </c>
      <c r="K90" s="76" t="s">
        <v>16</v>
      </c>
      <c r="L90" s="76" t="s">
        <v>17</v>
      </c>
      <c r="M90" s="76" t="s">
        <v>113</v>
      </c>
      <c r="N90" s="76" t="s">
        <v>19</v>
      </c>
      <c r="O90" s="76" t="s">
        <v>20</v>
      </c>
      <c r="P90" s="76" t="s">
        <v>145</v>
      </c>
      <c r="Q90" s="76" t="s">
        <v>22</v>
      </c>
      <c r="R90" s="76" t="s">
        <v>23</v>
      </c>
      <c r="S90" s="76" t="s">
        <v>115</v>
      </c>
      <c r="T90" s="76" t="s">
        <v>25</v>
      </c>
      <c r="U90" s="76" t="s">
        <v>26</v>
      </c>
      <c r="V90" s="76" t="s">
        <v>116</v>
      </c>
      <c r="W90" s="76" t="s">
        <v>29</v>
      </c>
      <c r="X90" s="77" t="s">
        <v>30</v>
      </c>
      <c r="Y90" s="76" t="s">
        <v>146</v>
      </c>
      <c r="Z90" s="77" t="s">
        <v>32</v>
      </c>
      <c r="AA90" s="76" t="s">
        <v>33</v>
      </c>
    </row>
    <row r="91" spans="1:38" ht="36.950000000000003" customHeight="1">
      <c r="A91" s="5" t="s">
        <v>149</v>
      </c>
      <c r="B91" s="78" t="s">
        <v>34</v>
      </c>
      <c r="C91" s="78" t="s">
        <v>35</v>
      </c>
      <c r="D91" s="78" t="s">
        <v>36</v>
      </c>
      <c r="E91" s="79" t="s">
        <v>38</v>
      </c>
      <c r="F91" s="80" t="s">
        <v>38</v>
      </c>
      <c r="G91" s="80" t="s">
        <v>38</v>
      </c>
      <c r="H91" s="80" t="s">
        <v>38</v>
      </c>
      <c r="I91" s="81" t="s">
        <v>38</v>
      </c>
      <c r="J91" s="107" t="s">
        <v>38</v>
      </c>
      <c r="K91" s="103">
        <v>80</v>
      </c>
      <c r="L91" s="76">
        <v>92</v>
      </c>
      <c r="M91" s="81" t="s">
        <v>38</v>
      </c>
      <c r="N91" s="81" t="s">
        <v>38</v>
      </c>
      <c r="O91" s="80" t="s">
        <v>38</v>
      </c>
      <c r="P91" s="80" t="s">
        <v>38</v>
      </c>
      <c r="Q91" s="76" t="s">
        <v>151</v>
      </c>
      <c r="R91" s="80" t="s">
        <v>38</v>
      </c>
      <c r="S91" s="80" t="s">
        <v>38</v>
      </c>
      <c r="T91" s="80" t="s">
        <v>38</v>
      </c>
      <c r="U91" s="80" t="s">
        <v>38</v>
      </c>
      <c r="V91" s="80" t="s">
        <v>38</v>
      </c>
      <c r="W91" s="80" t="s">
        <v>38</v>
      </c>
      <c r="X91" s="77" t="s">
        <v>39</v>
      </c>
      <c r="Y91" s="76" t="s">
        <v>134</v>
      </c>
      <c r="Z91" s="76" t="s">
        <v>41</v>
      </c>
      <c r="AA91" s="80" t="s">
        <v>38</v>
      </c>
      <c r="AB91" s="14" t="s">
        <v>152</v>
      </c>
      <c r="AC91" s="6" t="s">
        <v>153</v>
      </c>
      <c r="AD91" s="40"/>
      <c r="AE91" s="40" t="s">
        <v>255</v>
      </c>
      <c r="AF91" s="40" t="s">
        <v>256</v>
      </c>
      <c r="AG91" s="40" t="s">
        <v>326</v>
      </c>
      <c r="AH91" s="105" t="s">
        <v>258</v>
      </c>
      <c r="AI91" s="40" t="s">
        <v>259</v>
      </c>
      <c r="AJ91" s="40" t="s">
        <v>327</v>
      </c>
      <c r="AK91" s="105" t="s">
        <v>261</v>
      </c>
      <c r="AL91" s="105" t="s">
        <v>328</v>
      </c>
    </row>
    <row r="92" spans="1:38" ht="25.5">
      <c r="A92" s="2" t="s">
        <v>329</v>
      </c>
      <c r="B92" s="78" t="s">
        <v>34</v>
      </c>
      <c r="C92" s="78" t="s">
        <v>35</v>
      </c>
      <c r="D92" s="78" t="s">
        <v>36</v>
      </c>
      <c r="E92" s="76" t="s">
        <v>133</v>
      </c>
      <c r="F92" s="76" t="str">
        <f t="shared" ref="F92:F99" si="10">CONCATENATE(AK92," / ",AL92)</f>
        <v>421 / 444</v>
      </c>
      <c r="G92" s="76">
        <v>3</v>
      </c>
      <c r="H92" s="76">
        <v>90</v>
      </c>
      <c r="I92" s="81" t="s">
        <v>38</v>
      </c>
      <c r="J92" s="107">
        <v>3.8</v>
      </c>
      <c r="K92" s="103">
        <v>80</v>
      </c>
      <c r="L92" s="76">
        <v>92</v>
      </c>
      <c r="M92" s="81" t="s">
        <v>38</v>
      </c>
      <c r="N92" s="81" t="s">
        <v>38</v>
      </c>
      <c r="O92" s="76" t="s">
        <v>330</v>
      </c>
      <c r="P92" s="76" t="s">
        <v>331</v>
      </c>
      <c r="Q92" s="76" t="s">
        <v>151</v>
      </c>
      <c r="R92" s="76">
        <v>482</v>
      </c>
      <c r="S92" s="82" t="s">
        <v>332</v>
      </c>
      <c r="T92" s="76" t="s">
        <v>159</v>
      </c>
      <c r="U92" s="76">
        <v>2.7</v>
      </c>
      <c r="V92" s="76" t="s">
        <v>333</v>
      </c>
      <c r="W92" s="76">
        <v>454</v>
      </c>
      <c r="X92" s="77" t="s">
        <v>39</v>
      </c>
      <c r="Y92" s="76" t="s">
        <v>134</v>
      </c>
      <c r="Z92" s="76" t="s">
        <v>41</v>
      </c>
      <c r="AA92" s="76" t="s">
        <v>329</v>
      </c>
      <c r="AB92" s="14" t="s">
        <v>334</v>
      </c>
      <c r="AC92" s="6" t="s">
        <v>122</v>
      </c>
      <c r="AD92" s="40"/>
      <c r="AE92">
        <v>481.5</v>
      </c>
      <c r="AF92">
        <v>0.875</v>
      </c>
      <c r="AG92">
        <v>0.92200000000000004</v>
      </c>
      <c r="AH92">
        <v>33471.4</v>
      </c>
      <c r="AI92" s="106">
        <f>ROUND((AE92*1000*AF92/AH92),0)</f>
        <v>13</v>
      </c>
      <c r="AJ92" s="106">
        <f>ROUND((AE92*1000*AG92/AH92),0)</f>
        <v>13</v>
      </c>
      <c r="AK92" s="106">
        <f>ROUND(AE92*AF92,0)</f>
        <v>421</v>
      </c>
      <c r="AL92" s="106">
        <f>ROUND(AE92*AG92,0)</f>
        <v>444</v>
      </c>
    </row>
    <row r="93" spans="1:38" ht="25.5">
      <c r="A93" s="3" t="s">
        <v>335</v>
      </c>
      <c r="B93" s="78" t="s">
        <v>34</v>
      </c>
      <c r="C93" s="78" t="s">
        <v>35</v>
      </c>
      <c r="D93" s="78" t="s">
        <v>36</v>
      </c>
      <c r="E93" s="76" t="s">
        <v>133</v>
      </c>
      <c r="F93" s="76" t="str">
        <f t="shared" si="10"/>
        <v>562 / 592</v>
      </c>
      <c r="G93" s="76">
        <v>4</v>
      </c>
      <c r="H93" s="76">
        <v>90</v>
      </c>
      <c r="I93" s="81" t="s">
        <v>38</v>
      </c>
      <c r="J93" s="107">
        <v>4.9000000000000004</v>
      </c>
      <c r="K93" s="103">
        <v>80</v>
      </c>
      <c r="L93" s="76">
        <v>92</v>
      </c>
      <c r="M93" s="81" t="s">
        <v>38</v>
      </c>
      <c r="N93" s="81" t="s">
        <v>38</v>
      </c>
      <c r="O93" s="76" t="s">
        <v>336</v>
      </c>
      <c r="P93" s="76" t="s">
        <v>337</v>
      </c>
      <c r="Q93" s="76" t="s">
        <v>151</v>
      </c>
      <c r="R93" s="76">
        <v>642</v>
      </c>
      <c r="S93" s="82" t="s">
        <v>332</v>
      </c>
      <c r="T93" s="76" t="s">
        <v>159</v>
      </c>
      <c r="U93" s="76">
        <v>3.6</v>
      </c>
      <c r="V93" s="76" t="s">
        <v>338</v>
      </c>
      <c r="W93" s="76">
        <v>568</v>
      </c>
      <c r="X93" s="77" t="s">
        <v>39</v>
      </c>
      <c r="Y93" s="76" t="s">
        <v>134</v>
      </c>
      <c r="Z93" s="76" t="s">
        <v>41</v>
      </c>
      <c r="AA93" s="76" t="s">
        <v>335</v>
      </c>
      <c r="AB93" s="14" t="s">
        <v>339</v>
      </c>
      <c r="AC93" s="6" t="s">
        <v>122</v>
      </c>
      <c r="AD93" s="40"/>
      <c r="AE93">
        <v>642</v>
      </c>
      <c r="AF93">
        <v>0.875</v>
      </c>
      <c r="AG93">
        <v>0.92200000000000004</v>
      </c>
      <c r="AH93">
        <v>33471.4</v>
      </c>
      <c r="AI93" s="106">
        <f t="shared" ref="AI93:AI99" si="11">ROUND((AE93*1000*AF93/AH93),0)</f>
        <v>17</v>
      </c>
      <c r="AJ93" s="106">
        <f t="shared" ref="AJ93:AJ99" si="12">ROUND((AE93*1000*AG93/AH93),0)</f>
        <v>18</v>
      </c>
      <c r="AK93" s="106">
        <f t="shared" ref="AK93:AK99" si="13">ROUND(AE93*AF93,0)</f>
        <v>562</v>
      </c>
      <c r="AL93" s="106">
        <f t="shared" ref="AL93:AL99" si="14">ROUND(AE93*AG93,0)</f>
        <v>592</v>
      </c>
    </row>
    <row r="94" spans="1:38" ht="25.5">
      <c r="A94" s="2" t="s">
        <v>340</v>
      </c>
      <c r="B94" s="78" t="s">
        <v>34</v>
      </c>
      <c r="C94" s="78" t="s">
        <v>35</v>
      </c>
      <c r="D94" s="78" t="s">
        <v>36</v>
      </c>
      <c r="E94" s="76" t="s">
        <v>133</v>
      </c>
      <c r="F94" s="76" t="str">
        <f t="shared" si="10"/>
        <v>702 / 740</v>
      </c>
      <c r="G94" s="76">
        <v>5</v>
      </c>
      <c r="H94" s="76">
        <v>90</v>
      </c>
      <c r="I94" s="81" t="s">
        <v>38</v>
      </c>
      <c r="J94" s="107">
        <v>5.9</v>
      </c>
      <c r="K94" s="103">
        <v>80</v>
      </c>
      <c r="L94" s="76">
        <v>92</v>
      </c>
      <c r="M94" s="81" t="s">
        <v>38</v>
      </c>
      <c r="N94" s="81" t="s">
        <v>38</v>
      </c>
      <c r="O94" s="76" t="s">
        <v>341</v>
      </c>
      <c r="P94" s="76" t="s">
        <v>342</v>
      </c>
      <c r="Q94" s="76" t="s">
        <v>151</v>
      </c>
      <c r="R94" s="76">
        <v>802</v>
      </c>
      <c r="S94" s="82" t="s">
        <v>332</v>
      </c>
      <c r="T94" s="76" t="s">
        <v>159</v>
      </c>
      <c r="U94" s="76">
        <v>4.5</v>
      </c>
      <c r="V94" s="76" t="s">
        <v>338</v>
      </c>
      <c r="W94" s="76">
        <v>634</v>
      </c>
      <c r="X94" s="77" t="s">
        <v>39</v>
      </c>
      <c r="Y94" s="76" t="s">
        <v>134</v>
      </c>
      <c r="Z94" s="76" t="s">
        <v>41</v>
      </c>
      <c r="AA94" s="76" t="s">
        <v>340</v>
      </c>
      <c r="AB94" s="14" t="s">
        <v>343</v>
      </c>
      <c r="AC94" s="6" t="s">
        <v>122</v>
      </c>
      <c r="AD94" s="40"/>
      <c r="AE94">
        <v>802.5</v>
      </c>
      <c r="AF94">
        <v>0.875</v>
      </c>
      <c r="AG94">
        <v>0.92200000000000004</v>
      </c>
      <c r="AH94">
        <v>33471.4</v>
      </c>
      <c r="AI94" s="106">
        <f t="shared" si="11"/>
        <v>21</v>
      </c>
      <c r="AJ94" s="106">
        <f t="shared" si="12"/>
        <v>22</v>
      </c>
      <c r="AK94" s="106">
        <f t="shared" si="13"/>
        <v>702</v>
      </c>
      <c r="AL94" s="106">
        <f t="shared" si="14"/>
        <v>740</v>
      </c>
    </row>
    <row r="95" spans="1:38" ht="25.5">
      <c r="A95" s="3" t="s">
        <v>344</v>
      </c>
      <c r="B95" s="78" t="s">
        <v>34</v>
      </c>
      <c r="C95" s="78" t="s">
        <v>35</v>
      </c>
      <c r="D95" s="78" t="s">
        <v>36</v>
      </c>
      <c r="E95" s="76" t="s">
        <v>133</v>
      </c>
      <c r="F95" s="76" t="str">
        <f t="shared" si="10"/>
        <v>983 / 1036</v>
      </c>
      <c r="G95" s="76">
        <v>7</v>
      </c>
      <c r="H95" s="76">
        <v>90</v>
      </c>
      <c r="I95" s="81" t="s">
        <v>38</v>
      </c>
      <c r="J95" s="107">
        <v>8</v>
      </c>
      <c r="K95" s="103">
        <v>80</v>
      </c>
      <c r="L95" s="76">
        <v>92</v>
      </c>
      <c r="M95" s="81" t="s">
        <v>38</v>
      </c>
      <c r="N95" s="81" t="s">
        <v>38</v>
      </c>
      <c r="O95" s="76" t="s">
        <v>345</v>
      </c>
      <c r="P95" s="76" t="s">
        <v>346</v>
      </c>
      <c r="Q95" s="76" t="s">
        <v>151</v>
      </c>
      <c r="R95" s="76">
        <v>1124</v>
      </c>
      <c r="S95" s="82" t="s">
        <v>332</v>
      </c>
      <c r="T95" s="76" t="s">
        <v>159</v>
      </c>
      <c r="U95" s="76">
        <v>6.3</v>
      </c>
      <c r="V95" s="76" t="s">
        <v>347</v>
      </c>
      <c r="W95" s="76">
        <v>826</v>
      </c>
      <c r="X95" s="77" t="s">
        <v>39</v>
      </c>
      <c r="Y95" s="76" t="s">
        <v>134</v>
      </c>
      <c r="Z95" s="76" t="s">
        <v>41</v>
      </c>
      <c r="AA95" s="76" t="s">
        <v>344</v>
      </c>
      <c r="AB95" s="14" t="s">
        <v>348</v>
      </c>
      <c r="AC95" s="6" t="s">
        <v>122</v>
      </c>
      <c r="AD95" s="40"/>
      <c r="AE95">
        <v>1123.5</v>
      </c>
      <c r="AF95">
        <v>0.875</v>
      </c>
      <c r="AG95">
        <v>0.92200000000000004</v>
      </c>
      <c r="AH95">
        <v>33471.4</v>
      </c>
      <c r="AI95" s="106">
        <f t="shared" si="11"/>
        <v>29</v>
      </c>
      <c r="AJ95" s="106">
        <f t="shared" si="12"/>
        <v>31</v>
      </c>
      <c r="AK95" s="106">
        <f t="shared" si="13"/>
        <v>983</v>
      </c>
      <c r="AL95" s="106">
        <f t="shared" si="14"/>
        <v>1036</v>
      </c>
    </row>
    <row r="96" spans="1:38" ht="25.5">
      <c r="A96" s="2" t="s">
        <v>349</v>
      </c>
      <c r="B96" s="78" t="s">
        <v>34</v>
      </c>
      <c r="C96" s="78" t="s">
        <v>35</v>
      </c>
      <c r="D96" s="78" t="s">
        <v>36</v>
      </c>
      <c r="E96" s="76" t="s">
        <v>133</v>
      </c>
      <c r="F96" s="76" t="str">
        <f t="shared" si="10"/>
        <v>1343 / 1415</v>
      </c>
      <c r="G96" s="76">
        <v>4</v>
      </c>
      <c r="H96" s="76">
        <v>92</v>
      </c>
      <c r="I96" s="81" t="s">
        <v>38</v>
      </c>
      <c r="J96" s="107">
        <v>2.7</v>
      </c>
      <c r="K96" s="103">
        <v>80</v>
      </c>
      <c r="L96" s="76">
        <v>92</v>
      </c>
      <c r="M96" s="81" t="s">
        <v>38</v>
      </c>
      <c r="N96" s="81" t="s">
        <v>38</v>
      </c>
      <c r="O96" s="76" t="s">
        <v>350</v>
      </c>
      <c r="P96" s="76" t="s">
        <v>351</v>
      </c>
      <c r="Q96" s="76" t="s">
        <v>151</v>
      </c>
      <c r="R96" s="76">
        <v>1530</v>
      </c>
      <c r="S96" s="82" t="s">
        <v>352</v>
      </c>
      <c r="T96" s="76" t="s">
        <v>159</v>
      </c>
      <c r="U96" s="76">
        <v>10</v>
      </c>
      <c r="V96" s="76" t="s">
        <v>353</v>
      </c>
      <c r="W96" s="76">
        <v>1137</v>
      </c>
      <c r="X96" s="77" t="s">
        <v>39</v>
      </c>
      <c r="Y96" s="76" t="s">
        <v>134</v>
      </c>
      <c r="Z96" s="76" t="s">
        <v>41</v>
      </c>
      <c r="AA96" s="76" t="s">
        <v>349</v>
      </c>
      <c r="AB96" s="14" t="s">
        <v>354</v>
      </c>
      <c r="AC96" s="6" t="s">
        <v>122</v>
      </c>
      <c r="AD96" s="40"/>
      <c r="AE96">
        <v>1530</v>
      </c>
      <c r="AF96">
        <v>0.878</v>
      </c>
      <c r="AG96">
        <v>0.92500000000000004</v>
      </c>
      <c r="AH96">
        <v>33471.4</v>
      </c>
      <c r="AI96" s="106">
        <f t="shared" si="11"/>
        <v>40</v>
      </c>
      <c r="AJ96" s="106">
        <f t="shared" si="12"/>
        <v>42</v>
      </c>
      <c r="AK96" s="106">
        <f t="shared" si="13"/>
        <v>1343</v>
      </c>
      <c r="AL96" s="106">
        <f t="shared" si="14"/>
        <v>1415</v>
      </c>
    </row>
    <row r="97" spans="1:38" ht="25.5">
      <c r="A97" s="3" t="s">
        <v>355</v>
      </c>
      <c r="B97" s="78" t="s">
        <v>34</v>
      </c>
      <c r="C97" s="78" t="s">
        <v>35</v>
      </c>
      <c r="D97" s="78" t="s">
        <v>36</v>
      </c>
      <c r="E97" s="76" t="s">
        <v>133</v>
      </c>
      <c r="F97" s="76" t="str">
        <f t="shared" si="10"/>
        <v>2015 / 2123</v>
      </c>
      <c r="G97" s="76">
        <v>6</v>
      </c>
      <c r="H97" s="76">
        <v>92</v>
      </c>
      <c r="I97" s="81" t="s">
        <v>38</v>
      </c>
      <c r="J97" s="107">
        <v>4.8</v>
      </c>
      <c r="K97" s="103">
        <v>80</v>
      </c>
      <c r="L97" s="76">
        <v>92</v>
      </c>
      <c r="M97" s="81" t="s">
        <v>38</v>
      </c>
      <c r="N97" s="81" t="s">
        <v>38</v>
      </c>
      <c r="O97" s="76" t="s">
        <v>356</v>
      </c>
      <c r="P97" s="76" t="s">
        <v>357</v>
      </c>
      <c r="Q97" s="76" t="s">
        <v>151</v>
      </c>
      <c r="R97" s="76">
        <v>2295</v>
      </c>
      <c r="S97" s="82" t="s">
        <v>352</v>
      </c>
      <c r="T97" s="76" t="s">
        <v>159</v>
      </c>
      <c r="U97" s="76">
        <v>15</v>
      </c>
      <c r="V97" s="76" t="s">
        <v>358</v>
      </c>
      <c r="W97" s="76">
        <v>1384</v>
      </c>
      <c r="X97" s="77" t="s">
        <v>39</v>
      </c>
      <c r="Y97" s="76" t="s">
        <v>134</v>
      </c>
      <c r="Z97" s="76" t="s">
        <v>41</v>
      </c>
      <c r="AA97" s="76" t="s">
        <v>355</v>
      </c>
      <c r="AB97" s="14" t="s">
        <v>359</v>
      </c>
      <c r="AC97" s="6" t="s">
        <v>122</v>
      </c>
      <c r="AD97" s="40"/>
      <c r="AE97">
        <v>2295</v>
      </c>
      <c r="AF97">
        <v>0.878</v>
      </c>
      <c r="AG97">
        <v>0.92500000000000004</v>
      </c>
      <c r="AH97">
        <v>33471.4</v>
      </c>
      <c r="AI97" s="106">
        <f t="shared" si="11"/>
        <v>60</v>
      </c>
      <c r="AJ97" s="106">
        <f t="shared" si="12"/>
        <v>63</v>
      </c>
      <c r="AK97" s="106">
        <f t="shared" si="13"/>
        <v>2015</v>
      </c>
      <c r="AL97" s="106">
        <f t="shared" si="14"/>
        <v>2123</v>
      </c>
    </row>
    <row r="98" spans="1:38" ht="25.5">
      <c r="A98" s="2" t="s">
        <v>360</v>
      </c>
      <c r="B98" s="78" t="s">
        <v>34</v>
      </c>
      <c r="C98" s="78" t="s">
        <v>35</v>
      </c>
      <c r="D98" s="78" t="s">
        <v>36</v>
      </c>
      <c r="E98" s="76" t="s">
        <v>133</v>
      </c>
      <c r="F98" s="76" t="str">
        <f t="shared" si="10"/>
        <v>2350 / 2476</v>
      </c>
      <c r="G98" s="76">
        <v>7</v>
      </c>
      <c r="H98" s="76">
        <v>92</v>
      </c>
      <c r="I98" s="81" t="s">
        <v>38</v>
      </c>
      <c r="J98" s="107">
        <v>5.9</v>
      </c>
      <c r="K98" s="103">
        <v>80</v>
      </c>
      <c r="L98" s="76">
        <v>92</v>
      </c>
      <c r="M98" s="81" t="s">
        <v>38</v>
      </c>
      <c r="N98" s="81" t="s">
        <v>38</v>
      </c>
      <c r="O98" s="76" t="s">
        <v>361</v>
      </c>
      <c r="P98" s="76" t="s">
        <v>362</v>
      </c>
      <c r="Q98" s="76" t="s">
        <v>151</v>
      </c>
      <c r="R98" s="76">
        <v>2677</v>
      </c>
      <c r="S98" s="82" t="s">
        <v>352</v>
      </c>
      <c r="T98" s="76" t="s">
        <v>159</v>
      </c>
      <c r="U98" s="76">
        <v>17.5</v>
      </c>
      <c r="V98" s="76" t="s">
        <v>363</v>
      </c>
      <c r="W98" s="76">
        <v>1549</v>
      </c>
      <c r="X98" s="77" t="s">
        <v>39</v>
      </c>
      <c r="Y98" s="76" t="s">
        <v>134</v>
      </c>
      <c r="Z98" s="76" t="s">
        <v>41</v>
      </c>
      <c r="AA98" s="76" t="s">
        <v>360</v>
      </c>
      <c r="AB98" s="14" t="s">
        <v>364</v>
      </c>
      <c r="AC98" s="6" t="s">
        <v>122</v>
      </c>
      <c r="AD98" s="40"/>
      <c r="AE98">
        <v>2677</v>
      </c>
      <c r="AF98">
        <v>0.878</v>
      </c>
      <c r="AG98">
        <v>0.92500000000000004</v>
      </c>
      <c r="AH98">
        <v>33471.4</v>
      </c>
      <c r="AI98" s="106">
        <f t="shared" si="11"/>
        <v>70</v>
      </c>
      <c r="AJ98" s="106">
        <f t="shared" si="12"/>
        <v>74</v>
      </c>
      <c r="AK98" s="106">
        <f t="shared" si="13"/>
        <v>2350</v>
      </c>
      <c r="AL98" s="106">
        <f t="shared" si="14"/>
        <v>2476</v>
      </c>
    </row>
    <row r="99" spans="1:38" ht="25.5">
      <c r="A99" s="3" t="s">
        <v>132</v>
      </c>
      <c r="B99" s="78" t="s">
        <v>34</v>
      </c>
      <c r="C99" s="78" t="s">
        <v>35</v>
      </c>
      <c r="D99" s="78" t="s">
        <v>36</v>
      </c>
      <c r="E99" s="76" t="s">
        <v>133</v>
      </c>
      <c r="F99" s="76" t="str">
        <f t="shared" si="10"/>
        <v>2687 / 2831</v>
      </c>
      <c r="G99" s="76">
        <v>8</v>
      </c>
      <c r="H99" s="76">
        <v>92</v>
      </c>
      <c r="I99" s="81" t="s">
        <v>38</v>
      </c>
      <c r="J99" s="107">
        <v>7</v>
      </c>
      <c r="K99" s="103">
        <v>80</v>
      </c>
      <c r="L99" s="76">
        <v>92</v>
      </c>
      <c r="M99" s="81" t="s">
        <v>38</v>
      </c>
      <c r="N99" s="81" t="s">
        <v>38</v>
      </c>
      <c r="O99" s="76" t="s">
        <v>365</v>
      </c>
      <c r="P99" s="76" t="s">
        <v>366</v>
      </c>
      <c r="Q99" s="76" t="s">
        <v>151</v>
      </c>
      <c r="R99" s="76">
        <v>3060</v>
      </c>
      <c r="S99" s="82" t="s">
        <v>352</v>
      </c>
      <c r="T99" s="76" t="s">
        <v>159</v>
      </c>
      <c r="U99" s="76">
        <v>20</v>
      </c>
      <c r="V99" s="76" t="s">
        <v>363</v>
      </c>
      <c r="W99" s="76">
        <v>1664</v>
      </c>
      <c r="X99" s="77" t="s">
        <v>39</v>
      </c>
      <c r="Y99" s="76" t="s">
        <v>134</v>
      </c>
      <c r="Z99" s="76" t="s">
        <v>41</v>
      </c>
      <c r="AA99" s="76" t="s">
        <v>132</v>
      </c>
      <c r="AB99" s="14" t="s">
        <v>367</v>
      </c>
      <c r="AC99" s="6" t="s">
        <v>122</v>
      </c>
      <c r="AD99" s="40"/>
      <c r="AE99">
        <v>3060</v>
      </c>
      <c r="AF99">
        <v>0.878</v>
      </c>
      <c r="AG99">
        <v>0.92500000000000004</v>
      </c>
      <c r="AH99">
        <v>33471.4</v>
      </c>
      <c r="AI99" s="106">
        <f t="shared" si="11"/>
        <v>80</v>
      </c>
      <c r="AJ99" s="106">
        <f t="shared" si="12"/>
        <v>85</v>
      </c>
      <c r="AK99" s="106">
        <f t="shared" si="13"/>
        <v>2687</v>
      </c>
      <c r="AL99" s="106">
        <f t="shared" si="14"/>
        <v>2831</v>
      </c>
    </row>
    <row r="105" spans="1:38">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row>
    <row r="106" spans="1:38">
      <c r="H106" s="213"/>
      <c r="I106" s="213"/>
      <c r="J106" s="213"/>
      <c r="K106" s="213"/>
      <c r="L106" s="213"/>
      <c r="M106" s="213"/>
      <c r="N106" s="213"/>
      <c r="O106" s="213"/>
      <c r="P106" s="213"/>
      <c r="Q106" s="213"/>
      <c r="R106" s="213"/>
      <c r="S106" s="213"/>
      <c r="T106" s="213"/>
      <c r="U106" s="213"/>
      <c r="V106" s="18"/>
      <c r="W106" s="18"/>
      <c r="X106" s="18"/>
      <c r="Y106" s="18"/>
      <c r="Z106" s="18"/>
      <c r="AA106" s="18"/>
      <c r="AB106" s="18"/>
    </row>
    <row r="107" spans="1:38">
      <c r="A107" s="5"/>
      <c r="B107" s="11"/>
      <c r="C107" s="11"/>
      <c r="D107" s="11"/>
      <c r="E107" s="150"/>
      <c r="F107" s="11"/>
      <c r="G107" s="150"/>
      <c r="H107" s="11"/>
      <c r="I107" s="150"/>
      <c r="J107" s="11"/>
      <c r="K107" s="11"/>
      <c r="L107" s="11"/>
      <c r="M107" s="11"/>
      <c r="N107" s="11"/>
      <c r="O107" s="11"/>
      <c r="P107" s="11"/>
      <c r="Q107" s="11"/>
      <c r="R107" s="11"/>
      <c r="S107" s="11"/>
      <c r="T107" s="11"/>
      <c r="U107" s="11"/>
      <c r="V107" s="11"/>
      <c r="W107" s="11"/>
      <c r="X107" s="150"/>
      <c r="Y107" s="11"/>
      <c r="Z107" s="150"/>
      <c r="AA107" s="11"/>
      <c r="AB107" s="150"/>
      <c r="AC107" s="11"/>
    </row>
    <row r="108" spans="1:38" ht="27.75" customHeight="1">
      <c r="A108" s="5"/>
      <c r="B108" s="10"/>
      <c r="C108" s="10"/>
      <c r="D108" s="10"/>
      <c r="E108" s="156"/>
      <c r="F108" s="157"/>
      <c r="H108" s="153"/>
      <c r="I108" s="153"/>
      <c r="J108" s="10"/>
      <c r="K108" s="11"/>
      <c r="L108" s="153"/>
      <c r="M108" s="153"/>
      <c r="N108" s="157"/>
      <c r="O108" s="157"/>
      <c r="P108" s="11"/>
      <c r="Q108" s="157"/>
      <c r="R108" s="157"/>
      <c r="S108" s="157"/>
      <c r="T108" s="157"/>
      <c r="U108" s="157"/>
      <c r="V108" s="157"/>
      <c r="W108" s="157"/>
      <c r="X108" s="157"/>
      <c r="Y108" s="158"/>
      <c r="Z108" s="11"/>
      <c r="AA108" s="157"/>
      <c r="AB108" s="14"/>
      <c r="AC108" s="6"/>
    </row>
    <row r="109" spans="1:38" ht="41.25" customHeight="1">
      <c r="A109" s="15"/>
      <c r="B109" s="10"/>
      <c r="C109" s="10"/>
      <c r="D109" s="10"/>
      <c r="E109" s="11"/>
      <c r="F109" s="11"/>
      <c r="G109" s="157"/>
      <c r="H109" s="153"/>
      <c r="I109" s="153"/>
      <c r="J109" s="10"/>
      <c r="K109" s="11"/>
      <c r="L109" s="153"/>
      <c r="M109" s="153"/>
      <c r="N109" s="11"/>
      <c r="O109" s="11"/>
      <c r="P109" s="11"/>
      <c r="Q109" s="11"/>
      <c r="R109" s="12"/>
      <c r="S109" s="11"/>
      <c r="T109" s="11"/>
      <c r="U109" s="13"/>
      <c r="V109" s="11"/>
      <c r="W109" s="11"/>
      <c r="X109" s="150"/>
      <c r="Y109" s="158"/>
      <c r="Z109" s="11"/>
      <c r="AA109" s="11"/>
      <c r="AB109" s="14"/>
      <c r="AC109" s="6"/>
    </row>
    <row r="110" spans="1:38" ht="41.25" customHeight="1">
      <c r="A110" s="15"/>
      <c r="B110" s="10"/>
      <c r="C110" s="10"/>
      <c r="D110" s="10"/>
      <c r="E110" s="11"/>
      <c r="F110" s="11"/>
      <c r="G110" s="157"/>
      <c r="H110" s="153"/>
      <c r="I110" s="153"/>
      <c r="J110" s="10"/>
      <c r="K110" s="11"/>
      <c r="L110" s="153"/>
      <c r="M110" s="153"/>
      <c r="N110" s="11"/>
      <c r="O110" s="11"/>
      <c r="P110" s="11"/>
      <c r="Q110" s="11"/>
      <c r="R110" s="12"/>
      <c r="S110" s="10"/>
      <c r="T110" s="10"/>
      <c r="U110" s="151"/>
      <c r="V110" s="11"/>
      <c r="W110" s="11"/>
      <c r="X110" s="150"/>
      <c r="Y110" s="11"/>
      <c r="Z110" s="11"/>
      <c r="AA110" s="11"/>
      <c r="AB110" s="14"/>
      <c r="AC110" s="6"/>
    </row>
    <row r="111" spans="1:38">
      <c r="A111" s="15"/>
      <c r="B111" s="10"/>
      <c r="C111" s="10"/>
      <c r="D111" s="10"/>
      <c r="E111" s="11"/>
      <c r="F111" s="11"/>
      <c r="G111" s="11"/>
      <c r="H111" s="153"/>
      <c r="I111" s="153"/>
      <c r="J111" s="10"/>
      <c r="K111" s="11"/>
      <c r="L111" s="153"/>
      <c r="M111" s="153"/>
      <c r="N111" s="11"/>
      <c r="O111" s="11"/>
      <c r="P111" s="11"/>
      <c r="Q111" s="11"/>
      <c r="R111" s="12"/>
      <c r="S111" s="11"/>
      <c r="T111" s="11"/>
      <c r="U111" s="13"/>
      <c r="V111" s="11"/>
      <c r="W111" s="11"/>
      <c r="X111" s="150"/>
      <c r="Y111" s="11"/>
      <c r="Z111" s="11"/>
      <c r="AA111" s="11"/>
      <c r="AB111" s="14"/>
      <c r="AC111" s="6"/>
    </row>
    <row r="112" spans="1:38">
      <c r="A112" s="15"/>
      <c r="B112" s="10"/>
      <c r="C112" s="10"/>
      <c r="D112" s="10"/>
      <c r="E112" s="11"/>
      <c r="F112" s="11"/>
      <c r="G112" s="11"/>
      <c r="H112" s="153"/>
      <c r="I112" s="153"/>
      <c r="J112" s="10"/>
      <c r="K112" s="11"/>
      <c r="L112" s="153"/>
      <c r="M112" s="153"/>
      <c r="N112" s="11"/>
      <c r="O112" s="11"/>
      <c r="P112" s="11"/>
      <c r="Q112" s="11"/>
      <c r="R112" s="12"/>
      <c r="S112" s="11"/>
      <c r="T112" s="11"/>
      <c r="U112" s="13"/>
      <c r="V112" s="11"/>
      <c r="W112" s="11"/>
      <c r="X112" s="150"/>
      <c r="Y112" s="11"/>
      <c r="Z112" s="11"/>
      <c r="AA112" s="11"/>
      <c r="AB112" s="14"/>
      <c r="AC112" s="6"/>
    </row>
    <row r="113" spans="1:29">
      <c r="A113" s="15"/>
      <c r="B113" s="10"/>
      <c r="C113" s="10"/>
      <c r="D113" s="10"/>
      <c r="E113" s="11"/>
      <c r="F113" s="11"/>
      <c r="G113" s="11"/>
      <c r="H113" s="153"/>
      <c r="I113" s="153"/>
      <c r="J113" s="10"/>
      <c r="K113" s="11"/>
      <c r="L113" s="153"/>
      <c r="M113" s="153"/>
      <c r="N113" s="11"/>
      <c r="O113" s="11"/>
      <c r="P113" s="11"/>
      <c r="Q113" s="11"/>
      <c r="R113" s="12"/>
      <c r="S113" s="10"/>
      <c r="T113" s="10"/>
      <c r="U113" s="151"/>
      <c r="V113" s="11"/>
      <c r="W113" s="11"/>
      <c r="X113" s="150"/>
      <c r="Y113" s="11"/>
      <c r="Z113" s="11"/>
      <c r="AA113" s="11"/>
      <c r="AB113" s="14"/>
      <c r="AC113" s="6"/>
    </row>
    <row r="114" spans="1:29">
      <c r="A114" s="15"/>
      <c r="B114" s="10"/>
      <c r="C114" s="10"/>
      <c r="D114" s="10"/>
      <c r="E114" s="11"/>
      <c r="F114" s="11"/>
      <c r="G114" s="11"/>
      <c r="H114" s="153"/>
      <c r="I114" s="153"/>
      <c r="J114" s="10"/>
      <c r="K114" s="11"/>
      <c r="L114" s="153"/>
      <c r="M114" s="153"/>
      <c r="N114" s="11"/>
      <c r="O114" s="11"/>
      <c r="P114" s="11"/>
      <c r="Q114" s="11"/>
      <c r="R114" s="12"/>
      <c r="S114" s="10"/>
      <c r="T114" s="10"/>
      <c r="U114" s="151"/>
      <c r="V114" s="11"/>
      <c r="W114" s="11"/>
      <c r="X114" s="150"/>
      <c r="Y114" s="11"/>
      <c r="Z114" s="11"/>
      <c r="AA114" s="11"/>
      <c r="AB114" s="14"/>
      <c r="AC114" s="6"/>
    </row>
    <row r="115" spans="1:29">
      <c r="A115" s="15"/>
      <c r="B115" s="10"/>
      <c r="C115" s="10"/>
      <c r="D115" s="10"/>
      <c r="E115" s="11"/>
      <c r="F115" s="11"/>
      <c r="G115" s="11"/>
      <c r="H115" s="153"/>
      <c r="I115" s="153"/>
      <c r="J115" s="10"/>
      <c r="K115" s="11"/>
      <c r="L115" s="153"/>
      <c r="M115" s="153"/>
      <c r="N115" s="11"/>
      <c r="O115" s="11"/>
      <c r="P115" s="11"/>
      <c r="Q115" s="11"/>
      <c r="R115" s="12"/>
      <c r="S115" s="10"/>
      <c r="T115" s="10"/>
      <c r="U115" s="151"/>
      <c r="V115" s="11"/>
      <c r="W115" s="11"/>
      <c r="X115" s="150"/>
      <c r="Y115" s="11"/>
      <c r="Z115" s="11"/>
      <c r="AA115" s="11"/>
      <c r="AB115" s="14"/>
      <c r="AC115" s="6"/>
    </row>
    <row r="116" spans="1:29">
      <c r="A116" s="15"/>
      <c r="B116" s="10"/>
      <c r="C116" s="10"/>
      <c r="D116" s="10"/>
      <c r="E116" s="11"/>
      <c r="F116" s="11"/>
      <c r="G116" s="11"/>
      <c r="H116" s="153"/>
      <c r="I116" s="153"/>
      <c r="J116" s="10"/>
      <c r="K116" s="11"/>
      <c r="L116" s="153"/>
      <c r="M116" s="153"/>
      <c r="N116" s="11"/>
      <c r="O116" s="11"/>
      <c r="P116" s="11"/>
      <c r="Q116" s="11"/>
      <c r="R116" s="12"/>
      <c r="S116" s="10"/>
      <c r="T116" s="10"/>
      <c r="U116" s="151"/>
      <c r="V116" s="11"/>
      <c r="W116" s="11"/>
      <c r="X116" s="150"/>
      <c r="Y116" s="11"/>
      <c r="Z116" s="11"/>
      <c r="AA116" s="11"/>
      <c r="AB116" s="14"/>
      <c r="AC116" s="6"/>
    </row>
    <row r="117" spans="1:29">
      <c r="A117" s="15"/>
      <c r="B117" s="10"/>
      <c r="C117" s="10"/>
      <c r="D117" s="10"/>
      <c r="E117" s="11"/>
      <c r="F117" s="11"/>
      <c r="G117" s="11"/>
      <c r="H117" s="153"/>
      <c r="I117" s="153"/>
      <c r="J117" s="10"/>
      <c r="K117" s="10"/>
      <c r="L117" s="153"/>
      <c r="M117" s="153"/>
      <c r="N117" s="11"/>
      <c r="O117" s="11"/>
      <c r="P117" s="11"/>
      <c r="Q117" s="11"/>
      <c r="R117" s="152"/>
      <c r="S117" s="10"/>
      <c r="T117" s="10"/>
      <c r="U117" s="13"/>
      <c r="V117" s="11"/>
      <c r="W117" s="11"/>
      <c r="X117" s="150"/>
      <c r="Y117" s="11"/>
      <c r="Z117" s="11"/>
      <c r="AA117" s="11"/>
      <c r="AB117" s="14"/>
      <c r="AC117" s="6"/>
    </row>
    <row r="118" spans="1:29">
      <c r="A118" s="15"/>
      <c r="B118" s="10"/>
      <c r="C118" s="10"/>
      <c r="D118" s="10"/>
      <c r="E118" s="11"/>
      <c r="F118" s="11"/>
      <c r="G118" s="11"/>
      <c r="H118" s="153"/>
      <c r="I118" s="153"/>
      <c r="J118" s="10"/>
      <c r="K118" s="10"/>
      <c r="L118" s="153"/>
      <c r="M118" s="153"/>
      <c r="N118" s="11"/>
      <c r="O118" s="11"/>
      <c r="P118" s="11"/>
      <c r="Q118" s="11"/>
      <c r="R118" s="152"/>
      <c r="S118" s="10"/>
      <c r="T118" s="10"/>
      <c r="U118" s="13"/>
      <c r="V118" s="11"/>
      <c r="W118" s="11"/>
      <c r="X118" s="150"/>
      <c r="Y118" s="11"/>
      <c r="Z118" s="11"/>
      <c r="AA118" s="11"/>
      <c r="AB118" s="14"/>
      <c r="AC118" s="6"/>
    </row>
  </sheetData>
  <sheetProtection algorithmName="SHA-512" hashValue="mVAQ3nsgHG4lPF4FikcRjzORQBPlrvds4hDaKkSZwR/Fx2Aup0tzj4p2W+BM9OYfEUP0lcmpIKfjfXw0XnC25w==" saltValue="ZJ5NH8NBa+9qClRR4Qqqtg==" spinCount="100000" sheet="1" objects="1" scenarios="1"/>
  <mergeCells count="32">
    <mergeCell ref="B33:AA33"/>
    <mergeCell ref="H34:O34"/>
    <mergeCell ref="P34:R34"/>
    <mergeCell ref="S34:U34"/>
    <mergeCell ref="B49:Z49"/>
    <mergeCell ref="H18:O18"/>
    <mergeCell ref="P18:R18"/>
    <mergeCell ref="S18:U18"/>
    <mergeCell ref="B1:AA1"/>
    <mergeCell ref="P2:R2"/>
    <mergeCell ref="H2:O2"/>
    <mergeCell ref="S2:U2"/>
    <mergeCell ref="B17:AA17"/>
    <mergeCell ref="H76:O76"/>
    <mergeCell ref="P76:R76"/>
    <mergeCell ref="S76:U76"/>
    <mergeCell ref="H106:O106"/>
    <mergeCell ref="P106:R106"/>
    <mergeCell ref="S106:U106"/>
    <mergeCell ref="B88:AA88"/>
    <mergeCell ref="H89:P89"/>
    <mergeCell ref="Q89:S89"/>
    <mergeCell ref="T89:U89"/>
    <mergeCell ref="B105:AA105"/>
    <mergeCell ref="T50:U50"/>
    <mergeCell ref="H62:O62"/>
    <mergeCell ref="P62:R62"/>
    <mergeCell ref="S62:U62"/>
    <mergeCell ref="B75:AA75"/>
    <mergeCell ref="B61:AA61"/>
    <mergeCell ref="I50:P50"/>
    <mergeCell ref="Q50:S50"/>
  </mergeCells>
  <conditionalFormatting sqref="X5:X14">
    <cfRule type="containsText" dxfId="7" priority="7" operator="containsText" text="3">
      <formula>NOT(ISERROR(SEARCH("3",X5)))</formula>
    </cfRule>
  </conditionalFormatting>
  <conditionalFormatting sqref="X21:X32">
    <cfRule type="containsText" dxfId="6" priority="5" operator="containsText" text="3">
      <formula>NOT(ISERROR(SEARCH("3",X21)))</formula>
    </cfRule>
  </conditionalFormatting>
  <conditionalFormatting sqref="X37:X47">
    <cfRule type="containsText" dxfId="5" priority="1" operator="containsText" text="3">
      <formula>NOT(ISERROR(SEARCH("3",X37)))</formula>
    </cfRule>
  </conditionalFormatting>
  <conditionalFormatting sqref="X52:X56">
    <cfRule type="containsText" dxfId="4" priority="13" operator="containsText" text="3">
      <formula>NOT(ISERROR(SEARCH("3",X52)))</formula>
    </cfRule>
  </conditionalFormatting>
  <conditionalFormatting sqref="X64:X70">
    <cfRule type="containsText" dxfId="3" priority="11" operator="containsText" text="3">
      <formula>NOT(ISERROR(SEARCH("3",X64)))</formula>
    </cfRule>
  </conditionalFormatting>
  <conditionalFormatting sqref="X79:X82">
    <cfRule type="containsText" dxfId="2" priority="12" operator="containsText" text="3">
      <formula>NOT(ISERROR(SEARCH("3",X79)))</formula>
    </cfRule>
  </conditionalFormatting>
  <conditionalFormatting sqref="X91:X99">
    <cfRule type="containsText" dxfId="1" priority="9" operator="containsText" text="3">
      <formula>NOT(ISERROR(SEARCH("3",X91)))</formula>
    </cfRule>
  </conditionalFormatting>
  <conditionalFormatting sqref="X109:X118">
    <cfRule type="containsText" dxfId="0" priority="2" operator="containsText" text="3">
      <formula>NOT(ISERROR(SEARCH("3",X109)))</formula>
    </cfRule>
  </conditionalFormatting>
  <pageMargins left="0.7" right="0.7" top="0.75" bottom="0.75" header="0.3" footer="0.3"/>
  <pageSetup paperSize="5" scale="34"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I9"/>
  <sheetViews>
    <sheetView workbookViewId="0">
      <selection activeCell="L9" sqref="L9"/>
    </sheetView>
  </sheetViews>
  <sheetFormatPr defaultRowHeight="15.75"/>
  <cols>
    <col min="1" max="1" width="15.125" customWidth="1"/>
    <col min="3" max="3" width="11.875" customWidth="1"/>
    <col min="4" max="9" width="7.75" customWidth="1"/>
  </cols>
  <sheetData>
    <row r="1" spans="1:9">
      <c r="B1" t="s">
        <v>368</v>
      </c>
    </row>
    <row r="2" spans="1:9">
      <c r="A2" t="s">
        <v>369</v>
      </c>
      <c r="B2" s="134">
        <v>0.2</v>
      </c>
    </row>
    <row r="3" spans="1:9" s="127" customFormat="1" ht="47.25">
      <c r="A3" s="127" t="s">
        <v>370</v>
      </c>
      <c r="B3" s="127" t="s">
        <v>371</v>
      </c>
      <c r="C3" s="127" t="s">
        <v>372</v>
      </c>
      <c r="D3" s="127" t="s">
        <v>373</v>
      </c>
      <c r="E3" s="127" t="s">
        <v>374</v>
      </c>
      <c r="F3" s="127" t="s">
        <v>375</v>
      </c>
      <c r="G3" s="127" t="s">
        <v>376</v>
      </c>
      <c r="H3" s="127" t="s">
        <v>377</v>
      </c>
      <c r="I3" s="127" t="s">
        <v>378</v>
      </c>
    </row>
    <row r="4" spans="1:9">
      <c r="A4" s="133">
        <v>0</v>
      </c>
      <c r="B4">
        <f>ROUND(C4*(1-$B$2),0)</f>
        <v>24</v>
      </c>
      <c r="C4">
        <v>30</v>
      </c>
      <c r="D4" t="str">
        <f>IF(AND('BENCHMARK PLATINUM w EDGEii_OLD'!$S$28&gt;=$A4,'BENCHMARK PLATINUM w EDGEii_OLD'!$S$28&lt;=$B4),1,"")</f>
        <v/>
      </c>
      <c r="E4" t="str">
        <f>IF(AND('BENCHMARK PLATINUM w EDGEii'!$S$28&gt;=$A4,'BENCHMARK PLATINUM w EDGEii'!$S$28&lt;=$B4),1,"")</f>
        <v/>
      </c>
      <c r="F4" t="str">
        <f>IF(AND('BENCHMARK w EDGEii'!$S$28&gt;=$A4,'BENCHMARK w EDGEii'!$S$28&lt;=$B4),1,"")</f>
        <v/>
      </c>
      <c r="G4" t="e">
        <f>IF(AND(#REF!&gt;=$A4,#REF!&lt;=$B4),1,"")</f>
        <v>#REF!</v>
      </c>
      <c r="H4" t="str">
        <f>IF(AND('BENCHMARK STANDARD w EDGEi'!$S$26&gt;=$A4,'BENCHMARK STANDARD w EDGEi'!$S$26&lt;=$B4),1,"")</f>
        <v/>
      </c>
      <c r="I4" t="str">
        <f>IF(AND('MFC SERIES'!$S$26&gt;=$A4,'MFC SERIES'!$S$26&lt;=$B4),1,"")</f>
        <v/>
      </c>
    </row>
    <row r="5" spans="1:9">
      <c r="A5">
        <f>+B4+1</f>
        <v>25</v>
      </c>
      <c r="B5">
        <f>ROUND(C5*(1-$B$2),0)</f>
        <v>40</v>
      </c>
      <c r="C5">
        <v>50</v>
      </c>
      <c r="D5" t="str">
        <f>IF(AND('BENCHMARK PLATINUM w EDGEii_OLD'!$S$28&gt;=$A5,'BENCHMARK PLATINUM w EDGEii_OLD'!$S$28&lt;=$B5),1,"")</f>
        <v/>
      </c>
      <c r="E5" t="str">
        <f>IF(AND('BENCHMARK PLATINUM w EDGEii'!$S$28&gt;=$A5,'BENCHMARK PLATINUM w EDGEii'!$S$28&lt;=$B5),1,"")</f>
        <v/>
      </c>
      <c r="F5" t="str">
        <f>IF(AND('BENCHMARK w EDGEii'!$S$28&gt;=$A5,'BENCHMARK w EDGEii'!$S$28&lt;=$B5),1,"")</f>
        <v/>
      </c>
      <c r="G5" t="e">
        <f>IF(AND(#REF!&gt;=$A5,#REF!&lt;=$B5),1,"")</f>
        <v>#REF!</v>
      </c>
      <c r="H5" t="str">
        <f>IF(AND('BENCHMARK STANDARD w EDGEi'!$S$26&gt;=$A5,'BENCHMARK STANDARD w EDGEi'!$S$26&lt;=$B5),1,"")</f>
        <v/>
      </c>
      <c r="I5" t="str">
        <f>IF(AND('MFC SERIES'!$S$26&gt;=$A5,'MFC SERIES'!$S$26&lt;=$B5),1,"")</f>
        <v/>
      </c>
    </row>
    <row r="6" spans="1:9">
      <c r="A6">
        <f>+B5+1</f>
        <v>41</v>
      </c>
      <c r="B6">
        <f t="shared" ref="B6:B8" si="0">ROUND(C6*(1-$B$2),0)</f>
        <v>60</v>
      </c>
      <c r="C6">
        <v>75</v>
      </c>
      <c r="D6" t="str">
        <f>IF(AND('BENCHMARK PLATINUM w EDGEii_OLD'!$S$28&gt;=$A6,'BENCHMARK PLATINUM w EDGEii_OLD'!$S$28&lt;=$B6),1,"")</f>
        <v/>
      </c>
      <c r="E6" t="str">
        <f>IF(AND('BENCHMARK PLATINUM w EDGEii'!$S$28&gt;=$A6,'BENCHMARK PLATINUM w EDGEii'!$S$28&lt;=$B6),1,"")</f>
        <v/>
      </c>
      <c r="F6" t="str">
        <f>IF(AND('BENCHMARK w EDGEii'!$S$28&gt;=$A6,'BENCHMARK w EDGEii'!$S$28&lt;=$B6),1,"")</f>
        <v/>
      </c>
      <c r="G6" t="e">
        <f>IF(AND(#REF!&gt;=$A6,#REF!&lt;=$B6),1,"")</f>
        <v>#REF!</v>
      </c>
      <c r="H6" t="str">
        <f>IF(AND('BENCHMARK STANDARD w EDGEi'!$S$26&gt;=$A6,'BENCHMARK STANDARD w EDGEi'!$S$26&lt;=$B6),1,"")</f>
        <v/>
      </c>
      <c r="I6" t="str">
        <f>IF(AND('MFC SERIES'!$S$26&gt;=$A6,'MFC SERIES'!$S$26&lt;=$B6),1,"")</f>
        <v/>
      </c>
    </row>
    <row r="7" spans="1:9">
      <c r="A7">
        <f t="shared" ref="A7:A9" si="1">+B6+1</f>
        <v>61</v>
      </c>
      <c r="B7">
        <f t="shared" si="0"/>
        <v>80</v>
      </c>
      <c r="C7">
        <v>100</v>
      </c>
      <c r="D7" t="str">
        <f>IF(AND('BENCHMARK PLATINUM w EDGEii_OLD'!$S$28&gt;=$A7,'BENCHMARK PLATINUM w EDGEii_OLD'!$S$28&lt;=$B7),1,"")</f>
        <v/>
      </c>
      <c r="E7" t="str">
        <f>IF(AND('BENCHMARK PLATINUM w EDGEii'!$S$28&gt;=$A7,'BENCHMARK PLATINUM w EDGEii'!$S$28&lt;=$B7),1,"")</f>
        <v/>
      </c>
      <c r="F7" t="str">
        <f>IF(AND('BENCHMARK w EDGEii'!$S$28&gt;=$A7,'BENCHMARK w EDGEii'!$S$28&lt;=$B7),1,"")</f>
        <v/>
      </c>
      <c r="G7" t="e">
        <f>IF(AND(#REF!&gt;=$A7,#REF!&lt;=$B7),1,"")</f>
        <v>#REF!</v>
      </c>
      <c r="H7" t="str">
        <f>IF(AND('BENCHMARK STANDARD w EDGEi'!$S$26&gt;=$A7,'BENCHMARK STANDARD w EDGEi'!$S$26&lt;=$B7),1,"")</f>
        <v/>
      </c>
      <c r="I7" t="str">
        <f>IF(AND('MFC SERIES'!$S$26&gt;=$A7,'MFC SERIES'!$S$26&lt;=$B7),1,"")</f>
        <v/>
      </c>
    </row>
    <row r="8" spans="1:9">
      <c r="A8">
        <f t="shared" si="1"/>
        <v>81</v>
      </c>
      <c r="B8">
        <f t="shared" si="0"/>
        <v>120</v>
      </c>
      <c r="C8">
        <v>150</v>
      </c>
      <c r="D8">
        <f>IF(AND('BENCHMARK PLATINUM w EDGEii_OLD'!$S$28&gt;=$A8,'BENCHMARK PLATINUM w EDGEii_OLD'!$S$28&lt;=$B8),1,"")</f>
        <v>1</v>
      </c>
      <c r="E8">
        <f>IF(AND('BENCHMARK PLATINUM w EDGEii'!$S$28&gt;=$A8,'BENCHMARK PLATINUM w EDGEii'!$S$28&lt;=$B8),1,"")</f>
        <v>1</v>
      </c>
      <c r="F8">
        <f>IF(AND('BENCHMARK w EDGEii'!$S$28&gt;=$A8,'BENCHMARK w EDGEii'!$S$28&lt;=$B8),1,"")</f>
        <v>1</v>
      </c>
      <c r="G8" t="e">
        <f>IF(AND(#REF!&gt;=$A8,#REF!&lt;=$B8),1,"")</f>
        <v>#REF!</v>
      </c>
      <c r="H8">
        <f>IF(AND('BENCHMARK STANDARD w EDGEi'!$S$26&gt;=$A8,'BENCHMARK STANDARD w EDGEi'!$S$26&lt;=$B8),1,"")</f>
        <v>1</v>
      </c>
      <c r="I8">
        <f>IF(AND('MFC SERIES'!$S$26&gt;=$A8,'MFC SERIES'!$S$26&lt;=$B8),1,"")</f>
        <v>1</v>
      </c>
    </row>
    <row r="9" spans="1:9">
      <c r="A9">
        <f t="shared" si="1"/>
        <v>121</v>
      </c>
      <c r="B9" s="133">
        <v>150</v>
      </c>
      <c r="C9" t="s">
        <v>379</v>
      </c>
      <c r="D9" t="str">
        <f>IF(AND('BENCHMARK PLATINUM w EDGEii_OLD'!$S$28&gt;=$A9,'BENCHMARK PLATINUM w EDGEii_OLD'!$S$28&lt;=$B9),1,"")</f>
        <v/>
      </c>
      <c r="E9" t="str">
        <f>IF(AND('BENCHMARK PLATINUM w EDGEii'!$S$28&gt;=$A9,'BENCHMARK PLATINUM w EDGEii'!$S$28&lt;=$B9),1,"")</f>
        <v/>
      </c>
      <c r="F9" t="str">
        <f>IF(AND('BENCHMARK w EDGEii'!$S$28&gt;=$A9,'BENCHMARK w EDGEii'!$S$28&lt;=$B9),1,"")</f>
        <v/>
      </c>
      <c r="G9" t="e">
        <f>IF(AND(#REF!&gt;=$A9,#REF!&lt;=$B9),1,"")</f>
        <v>#REF!</v>
      </c>
      <c r="H9" t="str">
        <f>IF(AND('BENCHMARK STANDARD w EDGEi'!$S$26&gt;=$A9,'BENCHMARK STANDARD w EDGEi'!$S$26&lt;=$B9),1,"")</f>
        <v/>
      </c>
      <c r="I9" t="str">
        <f>IF(AND('MFC SERIES'!$S$26&gt;=$A9,'MFC SERIES'!$S$26&lt;=$B9),1,"")</f>
        <v/>
      </c>
    </row>
  </sheetData>
  <sheetProtection algorithmName="SHA-512" hashValue="6kfuB6FzamNcVEIUBQ32qQ0HMm1BEmRqOLaSKakTjGkQ4XXNDMGFFMqnrmVZYtO9iuF2AajAEsaSUFjA5RKRew==" saltValue="h4Fd6L4zI00tsIqWMjglJA==" spinCount="100000" sheet="1" objects="1" scenarios="1"/>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23</vt:i4>
      </vt:variant>
    </vt:vector>
  </HeadingPairs>
  <TitlesOfParts>
    <vt:vector size="30" baseType="lpstr">
      <vt:lpstr>BENCHMARK PLATINUM w EDGEii_OLD</vt:lpstr>
      <vt:lpstr>BENCHMARK PLATINUM w EDGEii</vt:lpstr>
      <vt:lpstr>BENCHMARK STANDARD w EDGEi</vt:lpstr>
      <vt:lpstr>BENCHMARK w EDGEii</vt:lpstr>
      <vt:lpstr>MFC SERIES</vt:lpstr>
      <vt:lpstr>AM SERIES</vt:lpstr>
      <vt:lpstr>MLX EXT</vt:lpstr>
      <vt:lpstr>AM</vt:lpstr>
      <vt:lpstr>AMboiler</vt:lpstr>
      <vt:lpstr>BMKEdgei</vt:lpstr>
      <vt:lpstr>BMKEDGEii</vt:lpstr>
      <vt:lpstr>BMKPlatEdgeii</vt:lpstr>
      <vt:lpstr>BMKPlatwCMORE</vt:lpstr>
      <vt:lpstr>BMKPlatwEDGE</vt:lpstr>
      <vt:lpstr>BMKSTDwEdge</vt:lpstr>
      <vt:lpstr>BMKwEDGEii</vt:lpstr>
      <vt:lpstr>INN</vt:lpstr>
      <vt:lpstr>MaxPressure</vt:lpstr>
      <vt:lpstr>MFC</vt:lpstr>
      <vt:lpstr>MFCBoiler</vt:lpstr>
      <vt:lpstr>MinPressure</vt:lpstr>
      <vt:lpstr>MLX</vt:lpstr>
      <vt:lpstr>MLXBoiler</vt:lpstr>
      <vt:lpstr>RV_BMKCMORE</vt:lpstr>
      <vt:lpstr>RV_BMKEDGEii</vt:lpstr>
      <vt:lpstr>RV_BMKPCMORE</vt:lpstr>
      <vt:lpstr>RV_BMKPEDGE</vt:lpstr>
      <vt:lpstr>RV_BMKPEDGEii</vt:lpstr>
      <vt:lpstr>RV_MFC</vt:lpstr>
      <vt:lpstr>RVpressure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Mynster, Andreas Silvert</cp:lastModifiedBy>
  <cp:revision/>
  <dcterms:created xsi:type="dcterms:W3CDTF">2016-05-26T01:28:51Z</dcterms:created>
  <dcterms:modified xsi:type="dcterms:W3CDTF">2024-05-17T12:59:43Z</dcterms:modified>
  <cp:category/>
  <cp:contentStatus/>
</cp:coreProperties>
</file>